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drawings/drawing1.xml" ContentType="application/vnd.openxmlformats-officedocument.drawing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65" windowHeight="6645" tabRatio="709" firstSheet="13" activeTab="82"/>
  </bookViews>
  <sheets>
    <sheet name="1m" sheetId="1" r:id="rId1"/>
    <sheet name="1am" sheetId="2" r:id="rId2"/>
    <sheet name="1bm" sheetId="3" r:id="rId3"/>
    <sheet name="2m" sheetId="4" r:id="rId4"/>
    <sheet name="2am" sheetId="5" r:id="rId5"/>
    <sheet name="2bm" sheetId="6" r:id="rId6"/>
    <sheet name="3am" sheetId="7" r:id="rId7"/>
    <sheet name="3bm" sheetId="8" r:id="rId8"/>
    <sheet name="4am" sheetId="9" r:id="rId9"/>
    <sheet name="4bm" sheetId="10" r:id="rId10"/>
    <sheet name="5m" sheetId="11" r:id="rId11"/>
    <sheet name="6.m" sheetId="12" r:id="rId12"/>
    <sheet name="7.1." sheetId="13" r:id="rId13"/>
    <sheet name="7.2." sheetId="14" r:id="rId14"/>
    <sheet name="7.3." sheetId="15" r:id="rId15"/>
    <sheet name="7.4." sheetId="16" r:id="rId16"/>
    <sheet name="7.5." sheetId="17" r:id="rId17"/>
    <sheet name="7.6." sheetId="18" r:id="rId18"/>
    <sheet name="8.mell." sheetId="19" r:id="rId19"/>
    <sheet name="9. mell." sheetId="20" r:id="rId20"/>
    <sheet name="10m" sheetId="21" r:id="rId21"/>
    <sheet name="11m" sheetId="22" r:id="rId22"/>
    <sheet name="12m" sheetId="23" r:id="rId23"/>
    <sheet name="13m" sheetId="24" r:id="rId24"/>
    <sheet name="14m" sheetId="25" r:id="rId25"/>
    <sheet name="19m" sheetId="26" state="hidden" r:id="rId26"/>
    <sheet name="16m" sheetId="27" state="hidden" r:id="rId27"/>
    <sheet name="hitelkorlát" sheetId="28" state="hidden" r:id="rId28"/>
    <sheet name="841126-116-Önk. igazgatás" sheetId="29" state="hidden" r:id="rId29"/>
    <sheet name="Fejlesztési kiadások" sheetId="30" state="hidden" r:id="rId30"/>
    <sheet name="Szennyvíztársulás" sheetId="31" state="hidden" r:id="rId31"/>
    <sheet name="Fejlesztési bevételek" sheetId="32" state="hidden" r:id="rId32"/>
    <sheet name="682001-Lakóingatlanok " sheetId="33" state="hidden" r:id="rId33"/>
    <sheet name="682002-Nem lakóingatlanok" sheetId="34" state="hidden" r:id="rId34"/>
    <sheet name="862101-Háziorvosi alapellátás" sheetId="35" state="hidden" r:id="rId35"/>
    <sheet name="841124-114-Gyámhivatal" sheetId="36" state="hidden" r:id="rId36"/>
    <sheet name="841125-115-Elsőfokú ép. hatóság" sheetId="37" state="hidden" r:id="rId37"/>
    <sheet name="841112-117-Képviselőtestület" sheetId="38" state="hidden" r:id="rId38"/>
    <sheet name="841126-Finanszírozási műveletek" sheetId="39" state="hidden" r:id="rId39"/>
    <sheet name="Bérek2012" sheetId="40" state="hidden" r:id="rId40"/>
    <sheet name="Bérek kulcsszám sz." sheetId="41" state="hidden" r:id="rId41"/>
    <sheet name="841126-166-Többc.munk.sz." sheetId="42" state="hidden" r:id="rId42"/>
    <sheet name="841901-Önk saját bevételei" sheetId="43" state="hidden" r:id="rId43"/>
    <sheet name="841133-adó beszedése" sheetId="44" state="hidden" r:id="rId44"/>
    <sheet name="841403- Városgazdálkodás" sheetId="45" state="hidden" r:id="rId45"/>
    <sheet name="841358 - EKF" sheetId="46" state="hidden" r:id="rId46"/>
    <sheet name="Támop-3.2.3" sheetId="47" state="hidden" r:id="rId47"/>
    <sheet name="841127-118-Kisebbségi önk." sheetId="48" state="hidden" r:id="rId48"/>
    <sheet name="842531-Polgári védelem" sheetId="49" state="hidden" r:id="rId49"/>
    <sheet name="841402-Közvilágítás" sheetId="50" state="hidden" r:id="rId50"/>
    <sheet name="931102-172-Sportcsarnok" sheetId="51" state="hidden" r:id="rId51"/>
    <sheet name="602000-CSTV" sheetId="52" state="hidden" r:id="rId52"/>
    <sheet name="901501-Közösségi ház " sheetId="53" state="hidden" r:id="rId53"/>
    <sheet name="882129-Öregek ebédje" sheetId="54" state="hidden" r:id="rId54"/>
    <sheet name="-Rendsz.szoc.pénz.ell." sheetId="55" state="hidden" r:id="rId55"/>
    <sheet name="882117-Rendsz.gyv.pénz.ell." sheetId="56" state="hidden" r:id="rId56"/>
    <sheet name="882119 - Óvodáztatási támogatás" sheetId="57" state="hidden" r:id="rId57"/>
    <sheet name="882111-Munkanélküli ellátások" sheetId="58" state="hidden" r:id="rId58"/>
    <sheet name="-Eseti pénz.szoc.ell." sheetId="59" state="hidden" r:id="rId59"/>
    <sheet name="882124-Eseti pénz.gyv.ell" sheetId="60" state="hidden" r:id="rId60"/>
    <sheet name="890441-Közcélú 2012" sheetId="61" state="hidden" r:id="rId61"/>
    <sheet name="rehabilitációs hj " sheetId="62" state="hidden" r:id="rId62"/>
    <sheet name="bejáró 2012" sheetId="63" state="hidden" r:id="rId63"/>
    <sheet name="Körjegyzőség 2012" sheetId="64" state="hidden" r:id="rId64"/>
    <sheet name="okt.int.kiad.ktv.2010." sheetId="65" state="hidden" r:id="rId65"/>
    <sheet name="okt.int.bev.ktv.2010." sheetId="66" state="hidden" r:id="rId66"/>
    <sheet name="S.udvarhelyi.tagiskola.kts.tér." sheetId="67" state="hidden" r:id="rId67"/>
    <sheet name="pénzmaradvány" sheetId="68" state="hidden" r:id="rId68"/>
    <sheet name="Bérek önk.ig." sheetId="69" state="hidden" r:id="rId69"/>
    <sheet name="Könyvtár" sheetId="70" state="hidden" r:id="rId70"/>
    <sheet name="Mozgókönyvtár elemi" sheetId="71" state="hidden" r:id="rId71"/>
    <sheet name="Múzeum" sheetId="72" state="hidden" r:id="rId72"/>
    <sheet name="Bérek könyvtár" sheetId="73" state="hidden" r:id="rId73"/>
    <sheet name="Elemi" sheetId="74" state="hidden" r:id="rId74"/>
    <sheet name="Réti J.Zeneisk." sheetId="75" state="hidden" r:id="rId75"/>
    <sheet name="2012.év.előir.össz.S.udvarhely" sheetId="76" state="hidden" r:id="rId76"/>
    <sheet name="II. Rákóczi előir.összesítő" sheetId="77" state="hidden" r:id="rId77"/>
    <sheet name="Eötvös kiadás" sheetId="78" state="hidden" r:id="rId78"/>
    <sheet name="Szakszolg.indoklási lap 2012.év" sheetId="79" state="hidden" r:id="rId79"/>
    <sheet name="Városgazd" sheetId="80" state="hidden" r:id="rId80"/>
    <sheet name="15m" sheetId="81" r:id="rId81"/>
    <sheet name="16." sheetId="82" r:id="rId82"/>
    <sheet name="17m" sheetId="83" r:id="rId83"/>
    <sheet name="18m" sheetId="84" r:id="rId84"/>
  </sheets>
  <externalReferences>
    <externalReference r:id="rId87"/>
    <externalReference r:id="rId88"/>
  </externalReferences>
  <definedNames>
    <definedName name="_xlnm._FilterDatabase" localSheetId="39" hidden="1">'Bérek2012'!$B$1:$C$57</definedName>
    <definedName name="_xlnm.Print_Area" localSheetId="24">'14m'!$A$1:$E$61</definedName>
    <definedName name="_xlnm.Print_Area" localSheetId="80">'15m'!$A$1:$Q$28</definedName>
    <definedName name="_xlnm.Print_Area" localSheetId="81">'16.'!$A$1:$E$18</definedName>
    <definedName name="_xlnm.Print_Area" localSheetId="1">'1am'!$A$1:$AC$57</definedName>
    <definedName name="_xlnm.Print_Area" localSheetId="2">'1bm'!$A$1:$AC$29</definedName>
    <definedName name="_xlnm.Print_Area" localSheetId="0">'1m'!$A$1:$E$60</definedName>
    <definedName name="_xlnm.Print_Area" localSheetId="75">'2012.év.előir.össz.S.udvarhely'!$A$1:$G$161</definedName>
    <definedName name="_xlnm.Print_Area" localSheetId="4">'2am'!$A$1:$AO$39</definedName>
    <definedName name="_xlnm.Print_Area" localSheetId="5">'2bm'!$A$1:$AO$28</definedName>
    <definedName name="_xlnm.Print_Area" localSheetId="3">'2m'!$A$1:$E$63</definedName>
    <definedName name="_xlnm.Print_Area" localSheetId="6">'3am'!$A$1:$E$39</definedName>
    <definedName name="_xlnm.Print_Area" localSheetId="7">'3bm'!$A$1:$F$42</definedName>
    <definedName name="_xlnm.Print_Area" localSheetId="8">'4am'!$A$1:$E$62</definedName>
    <definedName name="_xlnm.Print_Area" localSheetId="9">'4bm'!$A$1:$K$79</definedName>
    <definedName name="_xlnm.Print_Area" localSheetId="10">'5m'!$A$1:$E$23</definedName>
    <definedName name="_xlnm.Print_Area" localSheetId="32">'682001-Lakóingatlanok '!$A$1:$E$29</definedName>
    <definedName name="_xlnm.Print_Area" localSheetId="33">'682002-Nem lakóingatlanok'!$A$1:$E$30</definedName>
    <definedName name="_xlnm.Print_Area" localSheetId="12">'7.1.'!$A$1:$K$29</definedName>
    <definedName name="_xlnm.Print_Area" localSheetId="13">'7.2.'!$A$1:$L$28</definedName>
    <definedName name="_xlnm.Print_Area" localSheetId="14">'7.3.'!$A$1:$P$28</definedName>
    <definedName name="_xlnm.Print_Area" localSheetId="15">'7.4.'!$A$1:$J$28</definedName>
    <definedName name="_xlnm.Print_Area" localSheetId="16">'7.5.'!$A$1:$K$28</definedName>
    <definedName name="_xlnm.Print_Area" localSheetId="37">'841112-117-Képviselőtestület'!$A$1:$E$64</definedName>
    <definedName name="_xlnm.Print_Area" localSheetId="36">'841125-115-Elsőfokú ép. hatóság'!$A$1:$E$45</definedName>
    <definedName name="_xlnm.Print_Area" localSheetId="28">'841126-116-Önk. igazgatás'!$A$1:$E$240</definedName>
    <definedName name="_xlnm.Print_Area" localSheetId="41">'841126-166-Többc.munk.sz.'!$A$1:$E$37</definedName>
    <definedName name="_xlnm.Print_Area" localSheetId="38">'841126-Finanszírozási műveletek'!$A$1:$D$32</definedName>
    <definedName name="_xlnm.Print_Area" localSheetId="42">'841901-Önk saját bevételei'!$A$1:$I$57</definedName>
    <definedName name="_xlnm.Print_Area" localSheetId="53">'882129-Öregek ebédje'!$A$1:$E$33</definedName>
    <definedName name="_xlnm.Print_Area" localSheetId="19">'9. mell.'!$A$1:$F$30</definedName>
    <definedName name="_xlnm.Print_Area" localSheetId="52">'901501-Közösségi ház '!$A$1:$E$37</definedName>
    <definedName name="_xlnm.Print_Area" localSheetId="62">'bejáró 2012'!$A$1:$H$36</definedName>
    <definedName name="_xlnm.Print_Area" localSheetId="40">'Bérek kulcsszám sz.'!$A$1:$AC$102</definedName>
    <definedName name="_xlnm.Print_Area" localSheetId="39">'Bérek2012'!$A$1:$AB$60</definedName>
    <definedName name="_xlnm.Print_Area" localSheetId="77">'Eötvös kiadás'!$A$1:$O$109</definedName>
    <definedName name="_xlnm.Print_Area" localSheetId="31">'Fejlesztési bevételek'!$A$1:$E$61</definedName>
    <definedName name="_xlnm.Print_Area" localSheetId="29">'Fejlesztési kiadások'!$A$1:$E$126</definedName>
    <definedName name="_xlnm.Print_Area" localSheetId="27">'hitelkorlát'!$A$1:$D$31</definedName>
    <definedName name="_xlnm.Print_Area" localSheetId="76">'II. Rákóczi előir.összesítő'!$A$1:$G$172</definedName>
    <definedName name="_xlnm.Print_Area" localSheetId="64">'okt.int.kiad.ktv.2010.'!$A$1:$G$15</definedName>
    <definedName name="_xlnm.Print_Area" localSheetId="54">'-Rendsz.szoc.pénz.ell.'!$A$1:$E$47</definedName>
    <definedName name="_xlnm.Print_Area" localSheetId="74">'Réti J.Zeneisk.'!$A$1:$G$192</definedName>
    <definedName name="_xlnm.Print_Area" localSheetId="78">'Szakszolg.indoklási lap 2012.év'!$A$1:$G$176</definedName>
  </definedNames>
  <calcPr fullCalcOnLoad="1"/>
</workbook>
</file>

<file path=xl/sharedStrings.xml><?xml version="1.0" encoding="utf-8"?>
<sst xmlns="http://schemas.openxmlformats.org/spreadsheetml/2006/main" count="4676" uniqueCount="2260">
  <si>
    <t>Egészségbiztosítási és munkaerőpiaci járulék, szakképzési hj.</t>
  </si>
  <si>
    <t>Költségvetés 2012.</t>
  </si>
  <si>
    <t>Villamosenergia-szolgáltatás díjak (ami nem int)</t>
  </si>
  <si>
    <t>Gyám</t>
  </si>
  <si>
    <t>Köztisztviselők étkezési hozzájárulása</t>
  </si>
  <si>
    <t>(1 fő,alapilletmény, étkezési hj., jubileumi jutalom)</t>
  </si>
  <si>
    <t>FJ20km; F-PA 26km*9Ft/km*20nap*12;SzL18146*12; CsÁ 55km</t>
  </si>
  <si>
    <t>Szabóné Molnár Zsuzsanna</t>
  </si>
  <si>
    <t>Vörös Mátyás</t>
  </si>
  <si>
    <t>Költségvetés 2011.</t>
  </si>
  <si>
    <t>Pedagóguspótlék kiegészítése</t>
  </si>
  <si>
    <t>5507fő*91 Ft/hó 12 hó</t>
  </si>
  <si>
    <t>Állományba nem tartozók megbízási díja</t>
  </si>
  <si>
    <t>Áfa</t>
  </si>
  <si>
    <t>dr Porkoláb Lajos</t>
  </si>
  <si>
    <t>dr Kovács Tamás</t>
  </si>
  <si>
    <t>0000300</t>
  </si>
  <si>
    <t>1421600</t>
  </si>
  <si>
    <t>Nyugdíjbiztosítási járulék</t>
  </si>
  <si>
    <t>Működési bevételek</t>
  </si>
  <si>
    <t>Teljes munkaidős egyéb bérrendszer</t>
  </si>
  <si>
    <t>Prémium, megbízás, társadalmi megbíz</t>
  </si>
  <si>
    <t>Részmunkaidős közalkalmazottak</t>
  </si>
  <si>
    <t>Önkormányzati Igazgatás + Okmányiroda+Adó</t>
  </si>
  <si>
    <t>Teljes munkaidős közalkalmazott</t>
  </si>
  <si>
    <t xml:space="preserve">illkieg </t>
  </si>
  <si>
    <t>egyéb felt köt pótlék</t>
  </si>
  <si>
    <t>üdülés</t>
  </si>
  <si>
    <t>étkezés</t>
  </si>
  <si>
    <t>internet</t>
  </si>
  <si>
    <t>Módosított előirányzat (2012. évi terv adatok)</t>
  </si>
  <si>
    <t>Védőnői szolgálat</t>
  </si>
  <si>
    <t>3. Városi Szociális Intézmény</t>
  </si>
  <si>
    <t>-Bölcsőde</t>
  </si>
  <si>
    <t>d. Hagyomány és Innováció (Oktatási pályázat)</t>
  </si>
  <si>
    <t>Csurgó Város Helyi Cigány Nemzetiségi Önkormányzat</t>
  </si>
  <si>
    <t>Csurgói Városi Iskolák és Óvodák</t>
  </si>
  <si>
    <t>Ellátottak pénzbeli juttatásai</t>
  </si>
  <si>
    <t>Helyi önkormányzati támogatás</t>
  </si>
  <si>
    <t>Egyéb működési bevétel</t>
  </si>
  <si>
    <t>december havi megbízási díj</t>
  </si>
  <si>
    <t>Megbízási díj</t>
  </si>
  <si>
    <t>Zákány</t>
  </si>
  <si>
    <t>Zákányfalu</t>
  </si>
  <si>
    <t>Inke</t>
  </si>
  <si>
    <t>Iharos</t>
  </si>
  <si>
    <t>Iharosberény</t>
  </si>
  <si>
    <t>Őrtilos</t>
  </si>
  <si>
    <t>Városi Múzeum, Csurgó, Csokonai u.</t>
  </si>
  <si>
    <t>MÚZEUM ( 910 203 )</t>
  </si>
  <si>
    <t>RÉSZMUNKAIDŐBEN FOGLALKOZTATOTTAK (múzeum)</t>
  </si>
  <si>
    <t>Illetménypótlék*</t>
  </si>
  <si>
    <t>egyéb feltételtől függő (170 %)</t>
  </si>
  <si>
    <t>D</t>
  </si>
  <si>
    <t>3041206*</t>
  </si>
  <si>
    <t>* Munkáltatói döntés alapján bérkiegészítés: 5.400 Ft/hó (a részmunkaidő vállalása miatt)</t>
  </si>
  <si>
    <t>3020506**</t>
  </si>
  <si>
    <t>megszűnt</t>
  </si>
  <si>
    <t>** Jogviszonya megszűnt 2011. 12.31-én.</t>
  </si>
  <si>
    <t>2011. évben elvégzett munkák</t>
  </si>
  <si>
    <t>Csurgói Városgazdálkodási Kft.</t>
  </si>
  <si>
    <t xml:space="preserve">Időszak: </t>
  </si>
  <si>
    <t>2011. január 01.- december 31.</t>
  </si>
  <si>
    <t>Egység</t>
  </si>
  <si>
    <t>Intézmény, szakfeladat</t>
  </si>
  <si>
    <t>Ráfordított óraszám</t>
  </si>
  <si>
    <t>Bérköltség Bér+Járulék</t>
  </si>
  <si>
    <t>Anyagköltség / Ft /</t>
  </si>
  <si>
    <t>Kód</t>
  </si>
  <si>
    <t>megnevezése</t>
  </si>
  <si>
    <t>/ óra /</t>
  </si>
  <si>
    <t>/ Ft /</t>
  </si>
  <si>
    <t>0**</t>
  </si>
  <si>
    <t>Intézmények</t>
  </si>
  <si>
    <t>011</t>
  </si>
  <si>
    <t>Eötvös Iskola oktatás</t>
  </si>
  <si>
    <t>016</t>
  </si>
  <si>
    <t xml:space="preserve">   2012.év: 11hó  </t>
  </si>
  <si>
    <t>KÖLTSÉGFELOSZTÁSBÓL:</t>
  </si>
  <si>
    <t>Kedvezményes étkeztetés</t>
  </si>
  <si>
    <t>Szakmai, informatikai feladatok támogatása</t>
  </si>
  <si>
    <t>Tankönyvellátás támogatása</t>
  </si>
  <si>
    <t>Pedagógiai Szakszolgálat</t>
  </si>
  <si>
    <t>51 Rendszeres és nem rendszeres személyi juttatások</t>
  </si>
  <si>
    <t>511 Teljes munkaidőben foglalkoztatottak személyi juttatásai</t>
  </si>
  <si>
    <t>Ft-ban</t>
  </si>
  <si>
    <t>eFt-ban</t>
  </si>
  <si>
    <t>Köztisztviselők alapilletménye</t>
  </si>
  <si>
    <t>Köztisztviselők illetménykiegészítése</t>
  </si>
  <si>
    <t>Közalkalmazottak alapilletménye</t>
  </si>
  <si>
    <t>Köztisztviselők nyelvpótléka</t>
  </si>
  <si>
    <t>Kulcsszám</t>
  </si>
  <si>
    <t>Köztisztviselő napidíja</t>
  </si>
  <si>
    <t>(5131912) Köztisztviselők alapvizsga, szakvizsga</t>
  </si>
  <si>
    <t>Köztisztviselők egyéb sajátos juttatásai</t>
  </si>
  <si>
    <t>Köztisztviselők ruházati költségtérítése</t>
  </si>
  <si>
    <t>Köztisztviselők közlekedési költségtérítése</t>
  </si>
  <si>
    <t>Köztisztviselők étkezési hozzásjárulása</t>
  </si>
  <si>
    <t>Működési kiadások</t>
  </si>
  <si>
    <t>Eötvös, II.Rákóczi, Szakszolgálat</t>
  </si>
  <si>
    <t>Városi Óvodák</t>
  </si>
  <si>
    <t>Intézmény saját bevétele</t>
  </si>
  <si>
    <t>Többc.Társ.-tól logopédiai normatíva</t>
  </si>
  <si>
    <t>Többc.Társ.-tól gyógytestnevelési normatíva</t>
  </si>
  <si>
    <t>Működési bevétel összesen</t>
  </si>
  <si>
    <t>Működési kiadások és bevételek különbözete</t>
  </si>
  <si>
    <t>Tanulók, óvodások létszáma, fő</t>
  </si>
  <si>
    <t>Bogdán Zita</t>
  </si>
  <si>
    <t>1 tanulóra, óvodásra jutó költsg., Ft</t>
  </si>
  <si>
    <t>Bejáró tanuló létszáma, fő</t>
  </si>
  <si>
    <t>1 bejáró tanulóra, óvodásra jutó költség, Ft</t>
  </si>
  <si>
    <t>1 bejáróra jutó bejáró támogatás, Ft</t>
  </si>
  <si>
    <t>2027.</t>
  </si>
  <si>
    <t>2017.</t>
  </si>
  <si>
    <t>Szállítási költség</t>
  </si>
  <si>
    <t>2010.</t>
  </si>
  <si>
    <t>Műk. célú tám. értékű bevétel</t>
  </si>
  <si>
    <t>Városi kitüntetések</t>
  </si>
  <si>
    <t>Bérleti díj - fénymásoló</t>
  </si>
  <si>
    <t>PPP konstrukcióhoz kapcs.szolgáltatsi díj</t>
  </si>
  <si>
    <t>Morm.áll.hj.összesen:</t>
  </si>
  <si>
    <t>Normatív kötött támogatások összesen</t>
  </si>
  <si>
    <t>Részmunkaidőben fogl.köztisztviselők rendszreres</t>
  </si>
  <si>
    <t>Eng.létszám</t>
  </si>
  <si>
    <t>Dolgozik</t>
  </si>
  <si>
    <t>GYES-en van</t>
  </si>
  <si>
    <t>Tényleges létszám</t>
  </si>
  <si>
    <t>151,5 fő</t>
  </si>
  <si>
    <t>7,0 fő</t>
  </si>
  <si>
    <t>Ez nincs végrehajtva!</t>
  </si>
  <si>
    <t>A költségvetési adatok nem véglegesek!</t>
  </si>
  <si>
    <t>Leépítés előírva 2008.febr.15-től</t>
  </si>
  <si>
    <t xml:space="preserve">    Csurgói általános iskolák össz.</t>
  </si>
  <si>
    <t>személyi juttatásai</t>
  </si>
  <si>
    <t>Köztisztviselők képzettség pótléka</t>
  </si>
  <si>
    <t>Köztisztviselők továbbtanulása, továbbképzése</t>
  </si>
  <si>
    <t xml:space="preserve"> Köztisztviselők temetési segélye</t>
  </si>
  <si>
    <t xml:space="preserve"> Nyugalmazott köztisztviselők temetési segélye</t>
  </si>
  <si>
    <t>Munkavégzéshez kapcsolódó juttatások összesen:</t>
  </si>
  <si>
    <t>Foglalkoztatottak sajátos juttatásai összesen:</t>
  </si>
  <si>
    <t>Szem.kapcs.költségtér. és hozzájár. Összesen:</t>
  </si>
  <si>
    <t>Működési célú pénzeszközátadás áht.-n kívülre</t>
  </si>
  <si>
    <t>Szociális jellegű juttatások összesen:</t>
  </si>
  <si>
    <t>Részmunkaidőben foglalkoztatottak juttatásai</t>
  </si>
  <si>
    <t>Külső személyi juttatások</t>
  </si>
  <si>
    <t>Összesen:</t>
  </si>
  <si>
    <t>Bakonyi Ferenc</t>
  </si>
  <si>
    <t>Bodóné Gazda Edit</t>
  </si>
  <si>
    <t>Eötvös</t>
  </si>
  <si>
    <t>Dorogi Imréné</t>
  </si>
  <si>
    <t>Füstös Sándorné</t>
  </si>
  <si>
    <t>Horváth Sándorné</t>
  </si>
  <si>
    <t>Kalapos Tamásné</t>
  </si>
  <si>
    <t>Kiss Lajos</t>
  </si>
  <si>
    <t>Kovács Istvánné</t>
  </si>
  <si>
    <t>Nagy Sándorné</t>
  </si>
  <si>
    <t>Németh Istvánné</t>
  </si>
  <si>
    <t>Németh Zoltánné</t>
  </si>
  <si>
    <t>Rádics Lászlóné</t>
  </si>
  <si>
    <t>Szőke Zsoltné</t>
  </si>
  <si>
    <t>Tóth Sándor</t>
  </si>
  <si>
    <t>Sánta Viktória</t>
  </si>
  <si>
    <t>Tamás Diána</t>
  </si>
  <si>
    <t>Főkönyvi szám</t>
  </si>
  <si>
    <t>51-52</t>
  </si>
  <si>
    <t>SZEMÉLYI JUTTATÁSOK</t>
  </si>
  <si>
    <t>Teljes munkaidőben foglalkoztatottak személyi juttatásai</t>
  </si>
  <si>
    <t>Teljes munkaidőben foglalkoztatottak rendszeres személyi juttatásai</t>
  </si>
  <si>
    <t>Női Kézilabda Klub támogatása</t>
  </si>
  <si>
    <t>SZEMÉLYI JUTTATÁSOK ÖSSZESEN:</t>
  </si>
  <si>
    <t>MUNKAADÓKAT TERHELŐ JÁRULÉKOK</t>
  </si>
  <si>
    <t>Egészségügyi hozzájárulás</t>
  </si>
  <si>
    <t>DOLOGI KIADÁSOK</t>
  </si>
  <si>
    <t>eredeti</t>
  </si>
  <si>
    <t>Lakásgazdálkodás</t>
  </si>
  <si>
    <t>Gyámhivatal</t>
  </si>
  <si>
    <t>Átmeneti segély</t>
  </si>
  <si>
    <t>Temetési segély</t>
  </si>
  <si>
    <t>Közgyógyellátás</t>
  </si>
  <si>
    <t>házasságkötések megbízási díjai</t>
  </si>
  <si>
    <t>Helyi önkormányzati képviselők juttatásai</t>
  </si>
  <si>
    <t>működés</t>
  </si>
  <si>
    <t>Egyéb üzemeltetési, fenntartási szolg.</t>
  </si>
  <si>
    <t>516 Részmunkaidőben foglalkoztatottak juttatásai</t>
  </si>
  <si>
    <t>Részmunkaidőnben foglalkoztatottak rendszeres személyi juttatásai</t>
  </si>
  <si>
    <t>MŰKÖDÉSI CÉLÚ PÉNZESZKÖZ ÁTADÁS</t>
  </si>
  <si>
    <t>MŰKÖDÉSI CÉLÚ PÉNZESZKÖZ ÁTADÁS ÖSSZESEN:</t>
  </si>
  <si>
    <t>INTÉZMÉNYI MŰKÖDÉSI BEVÉTELEK</t>
  </si>
  <si>
    <t>Kiszámlázott szolgáltatás Áfá-ja</t>
  </si>
  <si>
    <t>1. Szennyvíz II.beruházás előkészítési munkái</t>
  </si>
  <si>
    <t>2. Szennyvíz II. beruházás áfa megtérülés (társulás)</t>
  </si>
  <si>
    <t>Szakmai anyag, kisértékű tárgyi eszköz</t>
  </si>
  <si>
    <t>ÁFA</t>
  </si>
  <si>
    <t>Működési célú átvett pénzeszköz államháztartáson kívülről (EU)</t>
  </si>
  <si>
    <t>Határon átnyúló (IPA)</t>
  </si>
  <si>
    <t>Somogyudvarhelyi Önkormányzat hozzájárulása a Somogyudvarhelyi Általános Iskola 2012. évi működési költségeihez</t>
  </si>
  <si>
    <t>370főX12hóX22800Ft</t>
  </si>
  <si>
    <t>MŰKÖDÉSI CÉLÚ TÁMOGATÁS ÉRTÉKŰ BEV. ÖSSZESEN:</t>
  </si>
  <si>
    <t>Egyéb bérrendszer hatálya alá tartozók munkabére</t>
  </si>
  <si>
    <t>Árvainé Varga Hajnalka</t>
  </si>
  <si>
    <t>Csók Eszter</t>
  </si>
  <si>
    <t>Füstös János</t>
  </si>
  <si>
    <t>Maronics Gábor</t>
  </si>
  <si>
    <t>Levák Eszter</t>
  </si>
  <si>
    <t>KÖLTSÉGVETÉSI TÁMOGATÁSOK ÖSSZESEN:</t>
  </si>
  <si>
    <t>ELLÁTOTTAK PÉNZBELI JUTTATÁSAI</t>
  </si>
  <si>
    <t>(500 fő x 6.000 Ft/fő/hó x 12 hó)</t>
  </si>
  <si>
    <t>(9főX23600X8hó)</t>
  </si>
  <si>
    <t>emelt 5fő*20000Ft*1 alkalom</t>
  </si>
  <si>
    <t>FHT (80 %)-os</t>
  </si>
  <si>
    <t>50 fő X 8.000 Ft</t>
  </si>
  <si>
    <t>(5 fő x 130.000 Ft)</t>
  </si>
  <si>
    <t xml:space="preserve">(600 fő x 2000 Ft/fő/alk x 3 alk) </t>
  </si>
  <si>
    <t>Ápolási díj (méltányosságból)</t>
  </si>
  <si>
    <t>ELLÁTOTTAK PÉNZBELI JUTTATÁSAI ÖSSZESEN:</t>
  </si>
  <si>
    <t>KÜLÖNFÉLE ELSZÁMOLÁSOK</t>
  </si>
  <si>
    <t>1. sz. melléklet</t>
  </si>
  <si>
    <t>Szabadidősport Egyesület</t>
  </si>
  <si>
    <t>Bölcsöde</t>
  </si>
  <si>
    <t>2. sz. melléklet</t>
  </si>
  <si>
    <t>Ssz.</t>
  </si>
  <si>
    <t xml:space="preserve">  - Pedagógiai Szakszolgálat </t>
  </si>
  <si>
    <t xml:space="preserve">  - Pedagógiai Szakszolgálat</t>
  </si>
  <si>
    <t xml:space="preserve">SZJA helyben maradó </t>
  </si>
  <si>
    <t>Környezetvédelmi bírság</t>
  </si>
  <si>
    <t>Gépjárműadó</t>
  </si>
  <si>
    <t>Önkormányzat normatív támogatása</t>
  </si>
  <si>
    <t>Önkormányzat normatív kötött támogatása</t>
  </si>
  <si>
    <t>Polgárvédelemre önkormányzatoktól</t>
  </si>
  <si>
    <t>Működési bevételek összesen:</t>
  </si>
  <si>
    <t>Önk. sajátos műk. bev.</t>
  </si>
  <si>
    <t>Műk. célú pénzeszk. átvétel</t>
  </si>
  <si>
    <t>Részben önállóan gazdálkodó intézmények:</t>
  </si>
  <si>
    <t xml:space="preserve"> 2. Városi Könyvtár - Múzeum</t>
  </si>
  <si>
    <t>-Városi Könyvtár</t>
  </si>
  <si>
    <t>-Múzeum</t>
  </si>
  <si>
    <t>-Városi Bölcsőde</t>
  </si>
  <si>
    <t>-Városi Eü. Int.</t>
  </si>
  <si>
    <t>-Városi Szoc. Int.</t>
  </si>
  <si>
    <t>Részben önállóan gazdálkodó intézmények össz.:</t>
  </si>
  <si>
    <t>ÖNKORMÁNYZAT ÖSSZ.:</t>
  </si>
  <si>
    <t>2. Céltartalék</t>
  </si>
  <si>
    <t>Személyi juttatások</t>
  </si>
  <si>
    <t>Működési célú tám értékú kiadás</t>
  </si>
  <si>
    <t>Szociális szolgáltató</t>
  </si>
  <si>
    <t>Evangélikus Gyülekezet támogatása</t>
  </si>
  <si>
    <t>Csurgói Református Gyülekezet támogatása</t>
  </si>
  <si>
    <t>Csurgó-alsoki Református Gyülekezet támogatása</t>
  </si>
  <si>
    <t>Áropra támogatás</t>
  </si>
  <si>
    <t>Támogatás értékű műk.-i kiadás</t>
  </si>
  <si>
    <t>Függő kiadások</t>
  </si>
  <si>
    <t>a. Gyermekvédelmi alapra támogatás</t>
  </si>
  <si>
    <t xml:space="preserve">    m. Ivóvízminőségjavító program (KEOP)</t>
  </si>
  <si>
    <t xml:space="preserve">    n. PPP-re kapott támogatás</t>
  </si>
  <si>
    <t>Igazgatási szolgáltatási díj</t>
  </si>
  <si>
    <t>Áru-és készletértékesítés ellenértéke</t>
  </si>
  <si>
    <t>Szolgáltatások, közvetített szolgáltatások ellenértéke</t>
  </si>
  <si>
    <t>Kötbér, bírság</t>
  </si>
  <si>
    <t>Működési célú áfabevételek, -visszatérülések</t>
  </si>
  <si>
    <t>Működési célú hozam- és kamatbevételek</t>
  </si>
  <si>
    <t>Matolcsy találkozóra átvett</t>
  </si>
  <si>
    <t>Helyi közlekedésre átvett</t>
  </si>
  <si>
    <t xml:space="preserve">c. Viziközmű befizetés </t>
  </si>
  <si>
    <t>d. Kriptafalhoz hozzájárulás</t>
  </si>
  <si>
    <t xml:space="preserve"> o. Szennyvízelvezetés és tisztítás II.ütem (Szennyvíztársulás) </t>
  </si>
  <si>
    <t>d. Közműfejlesztési támogatás</t>
  </si>
  <si>
    <t>a. Felhalmozási célú realizált árfolyamnyereség bevétele</t>
  </si>
  <si>
    <t>a.Szennyvíz önerő átadás</t>
  </si>
  <si>
    <t>a. Tűzoltóság eszközök beszerzésének pályázati önereje (10 %)</t>
  </si>
  <si>
    <t>b. Tűzoltóság tűzoltóautóra felvett hitel törlesztésére átadás</t>
  </si>
  <si>
    <t>c. Közműfejlesztésre átadott</t>
  </si>
  <si>
    <t>d. Gyermekvédelmi alapra átadott</t>
  </si>
  <si>
    <t>Temető kerítés</t>
  </si>
  <si>
    <t>Urnafal</t>
  </si>
  <si>
    <t xml:space="preserve"> - Buszmegálló terv</t>
  </si>
  <si>
    <t xml:space="preserve"> - IPA mérnöki tevékenység</t>
  </si>
  <si>
    <t xml:space="preserve"> - Fedett uszodaterv</t>
  </si>
  <si>
    <t xml:space="preserve"> - Iskolaadminisztrációs rendszer</t>
  </si>
  <si>
    <t xml:space="preserve"> - Oktatás</t>
  </si>
  <si>
    <t xml:space="preserve"> - Közfoglalkoztatás keretében beszerzett eszközök</t>
  </si>
  <si>
    <t>Termálkút</t>
  </si>
  <si>
    <t>Füstelevezető rendszer</t>
  </si>
  <si>
    <t>V. Támogatási kölcsönök visszatérülése és igénybevétele</t>
  </si>
  <si>
    <t>VI. Költségvetési bevétel és kiadás különbözete (hiány)</t>
  </si>
  <si>
    <t>MFB hitel leaderes felújítások TEUT felújításo könerejére tőketörlesztés</t>
  </si>
  <si>
    <t>Fejlesztési tartalék</t>
  </si>
  <si>
    <t xml:space="preserve">MFB hitel utak felújítására (2006.) tőketörlesztés </t>
  </si>
  <si>
    <t xml:space="preserve">MFB hitel játszótér kialakítására (2006.) tőketörlesztés </t>
  </si>
  <si>
    <t xml:space="preserve">MFB hitel Mesevár Óvoda, Eötvös Iskola felújítására tőketörlesztés </t>
  </si>
  <si>
    <t xml:space="preserve">Körforgalom önerejére MFB hitel tőketörlesztés </t>
  </si>
  <si>
    <t>Hosszúlejáratú hitelek tőketörlesztése összesen</t>
  </si>
  <si>
    <t>Volt Napsugár Szöv. Ingatlanvásárlására felvett hitel (36 millió Ft)kamat törlesztése</t>
  </si>
  <si>
    <t>Korábbi hitelek kiváltására felvett hitel (77.478 e Ft) )kamat törlesztése</t>
  </si>
  <si>
    <t>MFB hitel leaderes felújítások TEUT felújításo könerejére kamat törlesztés</t>
  </si>
  <si>
    <t xml:space="preserve">MFB hitel utak felújítására (2006.) kamat törlesztés </t>
  </si>
  <si>
    <t xml:space="preserve">MFB hitel játszótér kialakítására (2006.) kamat törlesztés </t>
  </si>
  <si>
    <t xml:space="preserve">MFB hitel Mesevár Óvoda, Eötvös Iskola felújítására kamat törlesztés </t>
  </si>
  <si>
    <t xml:space="preserve">Körforgalom önerejére MFB hitel kamat törlesztés </t>
  </si>
  <si>
    <t xml:space="preserve">VII. Lízingdíjak </t>
  </si>
  <si>
    <t>Eötvös iskola, Közösségi Ház fűtéskorszerűsítés lízingdíja</t>
  </si>
  <si>
    <t>Eötvös iskola, Közösségi Ház fűtéskorszerűsítés lízingdíja áfa</t>
  </si>
  <si>
    <t xml:space="preserve">Lízingdíjak </t>
  </si>
  <si>
    <t xml:space="preserve">Rövidlejáratú fejlesztési likvidhitel </t>
  </si>
  <si>
    <t>Rövidlejáratú fejlesztési célú likvidhitel (2009. dec.) tőketörlesztése</t>
  </si>
  <si>
    <t>Rövidlejáratú fejlesztési célú likvidhitel Körforgalom fordított áfa ROP támogatás megelőlegezésére tőketörlesztése</t>
  </si>
  <si>
    <t>Rövidlejáratú fejlesztési likvidhitel tőketörlesztés összesen</t>
  </si>
  <si>
    <t>Rövidlejáratú fejlesztési likvidhitelek kamata</t>
  </si>
  <si>
    <t>Rövidlejáratú fejlesztési célú likvidhitel (2009. dec.) kamat törlesztése</t>
  </si>
  <si>
    <t>Rövidlejáratú fejlesztési célú likvidhitel Körforgalom fordított áfa ROP támogatás megelőlegezésére kamat törlesztése</t>
  </si>
  <si>
    <t>Rövidlejáratú fejlesztési likvidhitel kamat törlesztés összesen</t>
  </si>
  <si>
    <t>Sportcsarnok fenntartói szolgáltatási díj</t>
  </si>
  <si>
    <t>Sportcsarnok fenntartói szolgáltatási díj áfa</t>
  </si>
  <si>
    <t>Sportcsarnok fenntartói szolgáltatási díj összesen</t>
  </si>
  <si>
    <t>Fejlesztési pénzmaradvány</t>
  </si>
  <si>
    <t>IPA</t>
  </si>
  <si>
    <t>Városrehab</t>
  </si>
  <si>
    <t>3. Egyéb felhalmozási kiadások</t>
  </si>
  <si>
    <t>a. Támogatásértékű felhalmozási kiadások</t>
  </si>
  <si>
    <t>b. Felhalmozási célú pénzeszközátadás államháztartáson kivülre</t>
  </si>
  <si>
    <t>c. Előző évi felhalmozási célú előirányzat -  maradvány, pénzmaradvány átadás</t>
  </si>
  <si>
    <t>2. fejlesztési célú hiteltörlesztés</t>
  </si>
  <si>
    <t>3. Pénzügyi befektetések bevételei</t>
  </si>
  <si>
    <t>cafeteria</t>
  </si>
  <si>
    <t>27=%</t>
  </si>
  <si>
    <t>Megbízási díjas</t>
  </si>
  <si>
    <t>KÜLSŐ SZEMÉLYI JUTT:ÖSSZESEN</t>
  </si>
  <si>
    <t xml:space="preserve">SZEMÉLYI JELL. JUTT. MINDÖSSZ. </t>
  </si>
  <si>
    <t>KÖLTSÉGFELOSZTÁSBÓL</t>
  </si>
  <si>
    <t>MUNKAADÓT TERHELŐ JÁRULÉKOK</t>
  </si>
  <si>
    <t xml:space="preserve"> - Közfoglalkoztatás keretében beszerzett eszközök (könyvtár)</t>
  </si>
  <si>
    <t>Réti József Zeneiskola</t>
  </si>
  <si>
    <t>Sudvarhelyi Ált. Iskola</t>
  </si>
  <si>
    <t>Önkormányzat</t>
  </si>
  <si>
    <t>Élelmiszer</t>
  </si>
  <si>
    <t>Készletek mindössz.</t>
  </si>
  <si>
    <t>Vevők</t>
  </si>
  <si>
    <t>Helyi adó tartozás</t>
  </si>
  <si>
    <t>Lakbér tartozás</t>
  </si>
  <si>
    <t>Helyiség bérleti díj tartozás</t>
  </si>
  <si>
    <t>Közterület bérleti díj tartozás</t>
  </si>
  <si>
    <t>Gázdíj tartozás</t>
  </si>
  <si>
    <t>Vízmű tartozása</t>
  </si>
  <si>
    <t>Adósok összesen</t>
  </si>
  <si>
    <t>Km. ép. kölcsön éven b. áll.</t>
  </si>
  <si>
    <t>Önk.lk.vás kölcsön éven b. áll.</t>
  </si>
  <si>
    <t>Csurgó Városi Iskolák és Óvodák működési célú kiadásainak előirányzatai 2010. évben</t>
  </si>
  <si>
    <t>Igazgatás</t>
  </si>
  <si>
    <t>Civil szervezetek elnyert Leader támogatásának megelőlegezésére alap</t>
  </si>
  <si>
    <t>II. Felhalmozási támogatások</t>
  </si>
  <si>
    <t>1. Központosított előirányzatokból fejlesztési célúak</t>
  </si>
  <si>
    <t>2. Fejlesztési célú támogatások</t>
  </si>
  <si>
    <t>III. Egyéb felhalmozási bevételek</t>
  </si>
  <si>
    <t>1. Támogatásértékű felhalmozási bevételek összesen</t>
  </si>
  <si>
    <t>2. Felhalmozási célú pénzeszköz átvétel államháztartáson kívülről</t>
  </si>
  <si>
    <t>h. Határon átnyuló (IPA)</t>
  </si>
  <si>
    <t>továbbfoglalkoztatás 4 hó</t>
  </si>
  <si>
    <t>11 fő 6 órás febr. 13-dec.31.</t>
  </si>
  <si>
    <t>24 fő 6 órás febr.13-dec.31.</t>
  </si>
  <si>
    <t>11 fő 70%</t>
  </si>
  <si>
    <t>24 fő 70%</t>
  </si>
  <si>
    <t>Vagyonbiztosítás (Uniqua) 585 eFt/n.év</t>
  </si>
  <si>
    <t>E.MISSZIÓ 200 eFt/hó</t>
  </si>
  <si>
    <t>Opel biztosítás 36872/év</t>
  </si>
  <si>
    <t>Utánfutó 2335/év</t>
  </si>
  <si>
    <t>MVM Partner 489 eFt/hó</t>
  </si>
  <si>
    <t>E-on 481 eFt/hó</t>
  </si>
  <si>
    <t>Biztosítás autó 7836/n.év</t>
  </si>
  <si>
    <t>Biztosítás autó 14142/n.év</t>
  </si>
  <si>
    <t>mozgókönyvtár 2011. évi fel nem használt</t>
  </si>
  <si>
    <t>IPR pályázat (pedagógus ker.kieg.) S.udv.</t>
  </si>
  <si>
    <t>IPR pályázat (pedagógus ker.kieg.) ÖSSZ.</t>
  </si>
  <si>
    <t>IPR pályázat (pedagógus ker.kieg.) Eötvös</t>
  </si>
  <si>
    <t>IPR pályázat (pedagógus ker.kieg.) Rákóczi</t>
  </si>
  <si>
    <t>Egészségügyi Szolgáltató Nonprofit Kft.-nek átadás</t>
  </si>
  <si>
    <t>MUNKADAÓT TERH.JÁRULÉKOK ÖSSZ.</t>
  </si>
  <si>
    <t>a. mozgókönyvtár TKT-tól felhalmozásra</t>
  </si>
  <si>
    <t>3. Előző évi felhalamozási célú előirányzat - maradvány, pénzmaradvány átvétel</t>
  </si>
  <si>
    <t>IV. Felhalmozási célú hitelek felvétele</t>
  </si>
  <si>
    <t>V. Előző évi fejlesztési pénzmaradvány igénybevétele</t>
  </si>
  <si>
    <t>I. Beruházási kiadások áfával</t>
  </si>
  <si>
    <t>1. Áthúzódó beruházások</t>
  </si>
  <si>
    <t>2. Új beruházások</t>
  </si>
  <si>
    <t>c. Gép, berendezés beszerzése</t>
  </si>
  <si>
    <t>b. Földterület vásárlása</t>
  </si>
  <si>
    <t>a. Építési beruházások</t>
  </si>
  <si>
    <t>d. Immateriális javak</t>
  </si>
  <si>
    <t>II. Felújítási kiadások áfával</t>
  </si>
  <si>
    <t>1. Áthúzódó felújítások</t>
  </si>
  <si>
    <t>2. Új felújítások</t>
  </si>
  <si>
    <t>III. Egyéb felhalmozási kiadások</t>
  </si>
  <si>
    <t>1. Támogatásértékű felhalmozási kiadás</t>
  </si>
  <si>
    <t>2. Felhalmozási célú pénzeszközök átadás áht-n kívülre</t>
  </si>
  <si>
    <t>3. Előző évi felhalmozási célú előirányzat- maradvány, pénzmaradvány átadás</t>
  </si>
  <si>
    <t>VIII. Fejlesztési célú tartalék</t>
  </si>
  <si>
    <t>5. Sportcsarnok fenntartói szolgáltatási díj</t>
  </si>
  <si>
    <t>6. Értékesített tárgyi eszközök, immateriális javak áfa befizetése</t>
  </si>
  <si>
    <t>a. működési célra</t>
  </si>
  <si>
    <t>b. felhalmozási célra</t>
  </si>
  <si>
    <t>1. Működési bevételek</t>
  </si>
  <si>
    <t>2. Önkormányzatok sajátos működési bevételei</t>
  </si>
  <si>
    <t>3. Működési támogatások</t>
  </si>
  <si>
    <t>4.Egyéb működési bevételek</t>
  </si>
  <si>
    <t>II. Felhalmozási bevételek</t>
  </si>
  <si>
    <t>1.Felhalmozási és tőke jellegű bevételek (áfával) összesen</t>
  </si>
  <si>
    <t>2. Felhalmozási támogatások</t>
  </si>
  <si>
    <t>II.Rákóczi Ferenc Általános Iskola</t>
  </si>
  <si>
    <t>2012.  évi  költségvetési  előirányzatok  összesítése</t>
  </si>
  <si>
    <t>024</t>
  </si>
  <si>
    <t>02</t>
  </si>
  <si>
    <t>Közalkalmazotti engedélyezett létszám (fő)</t>
  </si>
  <si>
    <t>9(+1 mentor)</t>
  </si>
  <si>
    <t>Költségfelosztásból (Eötvös)</t>
  </si>
  <si>
    <t>Cimpótlék</t>
  </si>
  <si>
    <t>Egyéb kötelező ill. pótlék</t>
  </si>
  <si>
    <t>Távolléti dij</t>
  </si>
  <si>
    <t>Egyéb munkavégzéshez kapcs.jutt.össz.</t>
  </si>
  <si>
    <t>Jubileumi jutalom (Költségfelosztásból)</t>
  </si>
  <si>
    <t>Egyéb költstér. és hozzájár. (ped.szakirod.)</t>
  </si>
  <si>
    <t xml:space="preserve">SZEMÉLYI JELL. JUTT. MINDÖSSZESEN: </t>
  </si>
  <si>
    <t>Megjegyzés:</t>
  </si>
  <si>
    <t>járulék alapot képező szem.jell.juttatások</t>
  </si>
  <si>
    <t>MUNKAADÓT TERHELŐ JÁRULÉKOK ÖSSZ.</t>
  </si>
  <si>
    <t>2. oldal</t>
  </si>
  <si>
    <t>Egyéb inform.hordozó beszerzés</t>
  </si>
  <si>
    <t>Szakmai anyag besz.</t>
  </si>
  <si>
    <t>Kisértékű tárgyi eszköz</t>
  </si>
  <si>
    <t>Telefon</t>
  </si>
  <si>
    <t xml:space="preserve">Vásárolt közszolgáltatások </t>
  </si>
  <si>
    <t xml:space="preserve">Reprezentáció, reklám </t>
  </si>
  <si>
    <t>Számlázott szellemi tevékenység</t>
  </si>
  <si>
    <t>95.000,-Ft*8hó  (V.E.: matematika, technika)</t>
  </si>
  <si>
    <t>Különféle adók, díjak, befizetések  (rehab. hj.)</t>
  </si>
  <si>
    <t>Csurgó, 2012. január 13.</t>
  </si>
  <si>
    <t>3. oldal</t>
  </si>
  <si>
    <t>Bevételek áfája</t>
  </si>
  <si>
    <t xml:space="preserve">INTÉZMÉNYI  MŰKÖDÉSI BEVÉT. ÖSSZESEN </t>
  </si>
  <si>
    <t>Átvett  pénzeszközök</t>
  </si>
  <si>
    <t>Mük.célú átvett pénzeszk. Munkaü. Közp.</t>
  </si>
  <si>
    <t>ÁTVETT  PÉNZESZKÖZÖK ÖSSZESEN:</t>
  </si>
  <si>
    <t>MŰKÖDÉSI  BEVÉTELEK  ÖSSZESEN</t>
  </si>
  <si>
    <r>
      <t>Készítette:</t>
    </r>
    <r>
      <rPr>
        <sz val="14"/>
        <rFont val="Arial"/>
        <family val="2"/>
      </rPr>
      <t xml:space="preserve"> Csordás Istvánné</t>
    </r>
  </si>
  <si>
    <t>Pedagógiai Szakszolgálat - Nevelési Tanácsadó</t>
  </si>
  <si>
    <t>Köztisztviselők jubileumi jutalma</t>
  </si>
  <si>
    <t>Hungarnet tagdíj</t>
  </si>
  <si>
    <t>3 havi BUBOR és 0,80 %: 6,8 %</t>
  </si>
  <si>
    <t>3  havi BUBOR és  0,53%; 6,53%</t>
  </si>
  <si>
    <t>3 havi BUBOR és 4%; 10%</t>
  </si>
  <si>
    <t>Teljes munkaidőben fogl.rendsz. Szem. Jutt. Össz.:</t>
  </si>
  <si>
    <t>takarító megbízási díja</t>
  </si>
  <si>
    <t>Önkormányzat és szakfeladatai összesen</t>
  </si>
  <si>
    <t>Önkormányzat szakfeladatos működési bevételei összesen</t>
  </si>
  <si>
    <t>Polg. Hiv. szakfeladatos működési bevételei össz.:</t>
  </si>
  <si>
    <t xml:space="preserve">Költségvetés 2012.         </t>
  </si>
  <si>
    <t>(36 fő x 30.000 Ft/fő/hó x 12 hó)</t>
  </si>
  <si>
    <t xml:space="preserve">   Hungarnet tagdíj</t>
  </si>
  <si>
    <t>Sportszervezetek támogatás</t>
  </si>
  <si>
    <t>Bejárók normatívája</t>
  </si>
  <si>
    <t>Többcélú Társulástól támogatás (szakszolg)</t>
  </si>
  <si>
    <t>Pénzmaradvány</t>
  </si>
  <si>
    <t>jogcím kötelezettségvállalással terhelt</t>
  </si>
  <si>
    <t>Működésre átvett támogatás</t>
  </si>
  <si>
    <t>Csurgó Városi Iskolák és Óvodák</t>
  </si>
  <si>
    <t>1 fő 95000Ft/hó</t>
  </si>
  <si>
    <t>EKF</t>
  </si>
  <si>
    <t>Horvát-magyar IPA EU önerő alap támogatás</t>
  </si>
  <si>
    <t>Városrehabilitáció saját forrására</t>
  </si>
  <si>
    <t>Polgármesteri Hivatal nyílászárók cseréje LEADER pályázat</t>
  </si>
  <si>
    <t>Polgármesteri Hivatal nyílászárók cseréje LEADER áfa</t>
  </si>
  <si>
    <t>841358-EKF</t>
  </si>
  <si>
    <t>890411 - hátrányos helyzetű kistérségek speciális komplex felzárkoztató programjai</t>
  </si>
  <si>
    <t>Egyéb bérrendszer alá tartozók TÁMOP-3.2.3</t>
  </si>
  <si>
    <t xml:space="preserve"> - Somogyudvarhelyi Ált. Isk.</t>
  </si>
  <si>
    <t>Saját erő finanszírozás Fejlesztések önerejére felvett hitel (Közösségei Ház, PMH, Városi Könyvtár "Leader", Kert, Jókai, Zrínyi u, "TEUT" támogatásból felújítás</t>
  </si>
  <si>
    <t>Eötvös Iskola világítás korszerűsítés</t>
  </si>
  <si>
    <t>MFB körforgalom</t>
  </si>
  <si>
    <t>Virág u., Csokonai u., Dózsa u., Eötvös Iskola járdaburkolat</t>
  </si>
  <si>
    <t>Működési likviditás, kisösszegű felújítás</t>
  </si>
  <si>
    <t>1. működési bevételek és kiadások különbözete (működési hiány)</t>
  </si>
  <si>
    <t>a) költségvetési működési hiány belső finanszírozása: előző évi pénzmaradvány igénybevétele</t>
  </si>
  <si>
    <t>2. felhalmozási bevételek és kiadások különbözete (felhalmozási hiány</t>
  </si>
  <si>
    <t xml:space="preserve">Összesen </t>
  </si>
  <si>
    <t>a) költségvetési felhalmozási hiány belső finanszírozása: előző évi pénzmaradvány igénybevétele</t>
  </si>
  <si>
    <t>b)költségvetési felhalmozási hiány külső finanszírozása: felhalmozási célú hitelfelvétel</t>
  </si>
  <si>
    <t>b) költségvetési működési hiány külső finanszírozása</t>
  </si>
  <si>
    <t>2. Költségvetési működési hiány külső finanszírozása</t>
  </si>
  <si>
    <t>Fűtéskorszerűsítésre</t>
  </si>
  <si>
    <t>1. Működési feladatok</t>
  </si>
  <si>
    <t>III. Egyéb aktív és passzív pénzügyi elszámolások összesen (+-)</t>
  </si>
  <si>
    <t>IV. Előző évben képzett tartalékok maradványa (-)</t>
  </si>
  <si>
    <t>VI. Finanszírozásból származó korrekciók (+-)</t>
  </si>
  <si>
    <t>VII. Pénzmaradványt terhelő levonások (-)</t>
  </si>
  <si>
    <t>Nyárádi 4. 35801 Ft/negyedév</t>
  </si>
  <si>
    <t>Nyárádi 1. 38667 Ft/negyedév</t>
  </si>
  <si>
    <t>Egyéb Sporttámogatások</t>
  </si>
  <si>
    <t>Zeneiskola épületének értékesítése</t>
  </si>
  <si>
    <t>Csurgó Belterületi Vízrendezés</t>
  </si>
  <si>
    <t>Csurgó Belterületi Vízrendezés EU Önerő Alap</t>
  </si>
  <si>
    <t>"Hagyomány és Innováció" Iskolai pályázat</t>
  </si>
  <si>
    <t>Hosszú lejáratú EU-spályázat előfinanszírozását szolgáló fejlesztés hitel kamattörlesztése (IPA)</t>
  </si>
  <si>
    <t>Tűzoltó köztestületre átvett támogatás</t>
  </si>
  <si>
    <t>S.M.Önk.-tól foglalkoztatásra átvett</t>
  </si>
  <si>
    <t>Csurgói Városgazdálkodási Kft.-nek működésre átadás</t>
  </si>
  <si>
    <t>Széchenyi tér körforgalom</t>
  </si>
  <si>
    <t>Munkaügyi Közp-tól rehabos foglalkoztatott támogatás</t>
  </si>
  <si>
    <t>Mozgókönyvtári normatíva: 15 x 800 eFt</t>
  </si>
  <si>
    <t>Mozgókönyvtári előző évről áthozott, fel nem használt normat.</t>
  </si>
  <si>
    <t>Mozgókönyvtári bevételek összesen</t>
  </si>
  <si>
    <t>ÁLTALÁNOS TARTALÉK</t>
  </si>
  <si>
    <t>Általános tartalék</t>
  </si>
  <si>
    <t>CÉLTARTALÉK</t>
  </si>
  <si>
    <t>TARTALÉKOK ÖSSZESEN:</t>
  </si>
  <si>
    <t>KIADÁSOK</t>
  </si>
  <si>
    <t>Munkaadókat terhelő járulékok</t>
  </si>
  <si>
    <t>Dologi kiadások</t>
  </si>
  <si>
    <t>Pénzeszköz átadás</t>
  </si>
  <si>
    <t>Kiadások összesen:</t>
  </si>
  <si>
    <t>BEVÉTELEK</t>
  </si>
  <si>
    <t>Sajátos működési bevétel</t>
  </si>
  <si>
    <t>Hely önkormányzati támogatás</t>
  </si>
  <si>
    <t>Munkaügyi központt tám. közmunkára</t>
  </si>
  <si>
    <t>Bevételek összesen:</t>
  </si>
  <si>
    <t>Ellátottak térítési díjának elengedése</t>
  </si>
  <si>
    <t>adóelengedés</t>
  </si>
  <si>
    <t>Összesen e Ft</t>
  </si>
  <si>
    <t>méltányosság</t>
  </si>
  <si>
    <t>1 millió Ft adóalap alatti kedvezmény</t>
  </si>
  <si>
    <t>Saját bevételek:</t>
  </si>
  <si>
    <t>helyi adók: (+)</t>
  </si>
  <si>
    <t>gépjárműadó: (+)</t>
  </si>
  <si>
    <t>környezetvédelmi bírság: (+)</t>
  </si>
  <si>
    <t>talajterhelési díj (+)</t>
  </si>
  <si>
    <t>lakás-, és helyiségbérlet (+)</t>
  </si>
  <si>
    <t>föld haszonbérlet (+)</t>
  </si>
  <si>
    <t>Csurgói Torna Klub</t>
  </si>
  <si>
    <t>Női Kézilabda Klub</t>
  </si>
  <si>
    <t xml:space="preserve">Engedélyezett létszám: 8 fő </t>
  </si>
  <si>
    <t>Szakfeladat: 856011 Pedagógiai Szakszolgálató Tevékenység</t>
  </si>
  <si>
    <t>egységkód: 070</t>
  </si>
  <si>
    <t xml:space="preserve"> forintban</t>
  </si>
  <si>
    <t xml:space="preserve">Közalkalmazott alapilletménye          </t>
  </si>
  <si>
    <t xml:space="preserve">lásd kulcsszámos bértábla  </t>
  </si>
  <si>
    <t>2011. december hó</t>
  </si>
  <si>
    <t>Különféle adók, díjak, befizetések (rehab.hozzájár.)</t>
  </si>
  <si>
    <t>MŰKÖDÉSI KIADÁSOK ÖSSZESEN:</t>
  </si>
  <si>
    <t xml:space="preserve">Intézmény megnevezése: Csurgói Városi Iskolák és Óvodák </t>
  </si>
  <si>
    <t>2012. évi költségvetés</t>
  </si>
  <si>
    <t>egységkód</t>
  </si>
  <si>
    <t>MŰKÖDÉSI BEVÉTELEK, ÁTVETT PÉNZESZKÖZ</t>
  </si>
  <si>
    <t xml:space="preserve">Intézményi ellátás dijbevétel  </t>
  </si>
  <si>
    <t>Kiszámlázott term.és szolgáltatások áfa</t>
  </si>
  <si>
    <t>Intézményi ellátási díjak áfa előirányzata</t>
  </si>
  <si>
    <t>3. Egyéb felhalmozási bevételek</t>
  </si>
  <si>
    <t>III. Támogatási kölcsönök visszatérülése, igénybevétele</t>
  </si>
  <si>
    <t>IV. Fejlesztési célú hitelek törlesztése kamatokkal</t>
  </si>
  <si>
    <t>4. Lízingdíjak</t>
  </si>
  <si>
    <t>d. Lízingdíj</t>
  </si>
  <si>
    <t>e. Sportcsarnok fenntartói szolgáltatási díj</t>
  </si>
  <si>
    <t>f. Értékesített tárgyi eszközök, immateriális javak áfa befizetése</t>
  </si>
  <si>
    <t>IV. Hitelek törlesztése</t>
  </si>
  <si>
    <t>V. Pénzforgalom nélküli kiadások</t>
  </si>
  <si>
    <t>III. Támogatási kölcsönök nyújtása, törlesztése</t>
  </si>
  <si>
    <t>III. körzetre januártól</t>
  </si>
  <si>
    <t>sportcsarnok fenntarrtói szolgáltatás díja (-)</t>
  </si>
  <si>
    <t>fejl kiadások kivált hitel 2011. évi törl+kamat</t>
  </si>
  <si>
    <t>közterület bérlet (+)</t>
  </si>
  <si>
    <t>Saját bevétel összesen:</t>
  </si>
  <si>
    <t>fűtéskorszerűsítés lízingdíja (-)</t>
  </si>
  <si>
    <t>Rövid lj-ú köt összesen:</t>
  </si>
  <si>
    <t>ÖNHIKI előleg: (+)</t>
  </si>
  <si>
    <t>Hosszúlejáratú fejlesztési hitel felvétel</t>
  </si>
  <si>
    <t>Tervezhető működési hitel felvétel (hiány)</t>
  </si>
  <si>
    <t>Cím megnevezése</t>
  </si>
  <si>
    <t>Városi Könyvtár és Múzeum</t>
  </si>
  <si>
    <t>Városi Egészségügyi és Szociális Intézmények</t>
  </si>
  <si>
    <t>3. Polgármesteri Hivatal költségvetésében szereplő kiadások</t>
  </si>
  <si>
    <t>4. Cigány Kisebbségi Önkormányzat</t>
  </si>
  <si>
    <t>Feladat</t>
  </si>
  <si>
    <t>a) fűtéskorszerűsítés</t>
  </si>
  <si>
    <t xml:space="preserve">b) Sportcsarnok működtetése </t>
  </si>
  <si>
    <t>(adatok eFt)</t>
  </si>
  <si>
    <t>Önerő</t>
  </si>
  <si>
    <t>EU-s támogatás</t>
  </si>
  <si>
    <t>Bekerülési ktg</t>
  </si>
  <si>
    <t>Tűzoltó köztestület támogatása</t>
  </si>
  <si>
    <t>Rinya-Dombómenti VTT érd. hozzájárulás</t>
  </si>
  <si>
    <t>"Bursa Hungarica" támogatása</t>
  </si>
  <si>
    <t>Magyar Önkormányzatok Szövetsége tagdíj</t>
  </si>
  <si>
    <t>1.</t>
  </si>
  <si>
    <t>2.</t>
  </si>
  <si>
    <t>3.</t>
  </si>
  <si>
    <t>Szociális továbbképzés és szakvizsga</t>
  </si>
  <si>
    <t>Szabóné 2011 évi számlái 3532eFt+27%</t>
  </si>
  <si>
    <t>Ingyenes intézményi étkeztetés</t>
  </si>
  <si>
    <t>Víziközmű használati díj áfa befizetése</t>
  </si>
  <si>
    <t>Fejlesztési pályázatok önerejére</t>
  </si>
  <si>
    <t>Fehalmozási kiadások összesen</t>
  </si>
  <si>
    <t>dologi</t>
  </si>
  <si>
    <t>Működési kiadások összesen</t>
  </si>
  <si>
    <t>Intézményi költségvetési kiadások</t>
  </si>
  <si>
    <t>Karbantartás, takarítás bér, járulék, dologi</t>
  </si>
  <si>
    <t>Áttanításra átvett pénz Gyékényes</t>
  </si>
  <si>
    <t>jubileum 40 éves</t>
  </si>
  <si>
    <t>Áttanításra átvett pénz Somogyudvarhely</t>
  </si>
  <si>
    <t>Nagyné Szolár Katalin</t>
  </si>
  <si>
    <t>Adamcsik Éva</t>
  </si>
  <si>
    <t>Mocsári László</t>
  </si>
  <si>
    <t>Közbeszerzés új szabályai 27000Ft* mód száma</t>
  </si>
  <si>
    <t>Bánki Zsuzsa dr.</t>
  </si>
  <si>
    <t>Hatóság</t>
  </si>
  <si>
    <t>Okmány</t>
  </si>
  <si>
    <t>Beruházás</t>
  </si>
  <si>
    <t>Fábián- Peti Anita</t>
  </si>
  <si>
    <t>Koordináció</t>
  </si>
  <si>
    <t>Adó</t>
  </si>
  <si>
    <t>Közgazd</t>
  </si>
  <si>
    <t>Jegyző</t>
  </si>
  <si>
    <t>Polgármester</t>
  </si>
  <si>
    <t>Hatóság - Gyám</t>
  </si>
  <si>
    <t>Hatóság - Építés</t>
  </si>
  <si>
    <t>név</t>
  </si>
  <si>
    <t>Sárváry Zsuzsa</t>
  </si>
  <si>
    <t>Költségvetési levelek 20943 Ft/év+5%</t>
  </si>
  <si>
    <t>Könyv</t>
  </si>
  <si>
    <t>lejárt szavatosságú cseréje és hiányzók potlása</t>
  </si>
  <si>
    <t>Irodagép 200000Ft/hó+25%</t>
  </si>
  <si>
    <t>Europrofil 10000Ft/hó+25%</t>
  </si>
  <si>
    <t>fénymásoló 20000+20000Ft/hó</t>
  </si>
  <si>
    <t>közjegyzői díjak  20db*1500Ft/db</t>
  </si>
  <si>
    <t>Pénzügyi szolgáltatások kiadásai</t>
  </si>
  <si>
    <t>karbantartáshoz szükséges anyagok, eszközök</t>
  </si>
  <si>
    <t>koszorúk, virágok</t>
  </si>
  <si>
    <t>Díjak, egyéb befizetések</t>
  </si>
  <si>
    <t xml:space="preserve">Köztisztviselők vezetői pótléka </t>
  </si>
  <si>
    <t>2/2010. (II.5) Kt rendelet</t>
  </si>
  <si>
    <t>Köztisztviselők ill. kieg</t>
  </si>
  <si>
    <t>munkáltatói döntés alapján 5000 Ft/fő/hó</t>
  </si>
  <si>
    <t>Keresetkiegészítés közalkalmazottak (2 %)</t>
  </si>
  <si>
    <t>Munkavégzéshez kapcsolódó juttatások</t>
  </si>
  <si>
    <t>Személyhez kapcsolódó költségtérítések és hozzájárulások</t>
  </si>
  <si>
    <t>Részm foglalk közalk munkavégzéshez kapcs juttatásai</t>
  </si>
  <si>
    <t>Részm foglalk közalk rendszeres személyi juttatásai</t>
  </si>
  <si>
    <t>Munkavégzéshez kapcsolodó juttatások</t>
  </si>
  <si>
    <t>könyvvizsgálat  91 eFt/hó</t>
  </si>
  <si>
    <t>vagyonbiztosítás          489568Ft x 4 negyedév</t>
  </si>
  <si>
    <t>munkáltatói felelősségbiztosítás 34003Ft/negyedév</t>
  </si>
  <si>
    <t>Bérleti és lízingdíjak</t>
  </si>
  <si>
    <t>Átengedett központi adók</t>
  </si>
  <si>
    <t>Különféle bírságok</t>
  </si>
  <si>
    <t>Önkormányzatok normatív állami hozzájárulása</t>
  </si>
  <si>
    <t>Normatív kötött felhasználású központi támogatások</t>
  </si>
  <si>
    <t>Központosított támogatások</t>
  </si>
  <si>
    <t>kieg</t>
  </si>
  <si>
    <t>pótlék</t>
  </si>
  <si>
    <t xml:space="preserve"> fűtés karbantartása</t>
  </si>
  <si>
    <t>(orvosi vizsgálat) 6000Ft/fő*(41+3+2) fő</t>
  </si>
  <si>
    <t>tisztítószer 30000Ft/hó</t>
  </si>
  <si>
    <t>bútor, textília,zászló</t>
  </si>
  <si>
    <t>Egyéb üzemeltetés fenntartás</t>
  </si>
  <si>
    <t>Polgárné Horváth Zsuzsanna</t>
  </si>
  <si>
    <t>8405500</t>
  </si>
  <si>
    <t xml:space="preserve">3050703 </t>
  </si>
  <si>
    <t>3080103</t>
  </si>
  <si>
    <t>3030104</t>
  </si>
  <si>
    <t>3040301</t>
  </si>
  <si>
    <t>jubileum 25 éves 2012.09.01</t>
  </si>
  <si>
    <t>soros: 2012.10.31. 2_14 jubileum 30 éves 2012.09.29</t>
  </si>
  <si>
    <t>Polgármesteri Hivatal nyílászárók cseréje LEADER</t>
  </si>
  <si>
    <t xml:space="preserve">      b) Haszonbérleti díjak</t>
  </si>
  <si>
    <t xml:space="preserve">      c) Közterületbérleti díjak</t>
  </si>
  <si>
    <t xml:space="preserve">      d) Viziközmű használati díj bevétele</t>
  </si>
  <si>
    <t>e) Magánszemélyek kommunális adója</t>
  </si>
  <si>
    <t>Hosszú távú működési hitel</t>
  </si>
  <si>
    <t>Városgazd. Kft. 4 fő bére + dologi tavalyi adatok alapján 448.991+4,2 infláció és az áfa változás (475.334)</t>
  </si>
  <si>
    <t>Normatíva bejárók nélkül (-13902) (-1050)</t>
  </si>
  <si>
    <t>2012. évi fizetendő összesen, Ft</t>
  </si>
  <si>
    <t>Bejáró tanulók 2012.</t>
  </si>
  <si>
    <t>Élethosszig tartó tanulás 2012. év</t>
  </si>
  <si>
    <t>INTÉZMÉNYI MŰKÖDÉSI BEVÉTELEK ÖSSZESEN:</t>
  </si>
  <si>
    <t>ÖNKORMÁNYZATAOK SAJÁTOS MŰKÖDÉSI BEVÉTELEI</t>
  </si>
  <si>
    <t>1 fő 70 %</t>
  </si>
  <si>
    <t>1 fő 100 %</t>
  </si>
  <si>
    <t>1 fő jun. 30-ig 95000 Ft (6hó)</t>
  </si>
  <si>
    <t>továbbfoglalkoztatás szept. 30-ig 95000 Ft (3hó)</t>
  </si>
  <si>
    <t>1 fő márc. 31-ig 58500 Ft (3 hó)</t>
  </si>
  <si>
    <t>2 fő 70%</t>
  </si>
  <si>
    <t>2 fő 07.13-ig 110000+95000 (6 hó és 10 m.nap)</t>
  </si>
  <si>
    <t>Önk.-i egyéb helyiségek bérbeadásából származó bevétel</t>
  </si>
  <si>
    <t>ÖNKORMÁNYZATOK SAJÁTOS MŰKÖDÉSI BEV. ÖSSZESEN:</t>
  </si>
  <si>
    <t>KÖLTSÉGVETÉSI TÁMOGATÁSOK</t>
  </si>
  <si>
    <t>MŰKÖDÉSI CÉLÚ TÁMOGATÁS ÉRTÉKŰ BEVÉTEL</t>
  </si>
  <si>
    <t>Munkaügyi Központtól közmunkára</t>
  </si>
  <si>
    <t>Önkormányzati támogatás</t>
  </si>
  <si>
    <t xml:space="preserve">      b) Budapest Bank épülete</t>
  </si>
  <si>
    <t>V. Tárgyévi helyesbített pénzmaradvány</t>
  </si>
  <si>
    <t>Csurgó Város Polgármesteri Hivatala</t>
  </si>
  <si>
    <t>Csurgói Általános Iskolák és Óvodák</t>
  </si>
  <si>
    <t>VIII. Költségvetési pénzmaradvány</t>
  </si>
  <si>
    <t>Előző év</t>
  </si>
  <si>
    <t>Tárgyév</t>
  </si>
  <si>
    <t>Csurgó Város Önkormányzatának 2012. évi pénzmaradványa</t>
  </si>
  <si>
    <t>…..../2013.(…....) rendelet</t>
  </si>
  <si>
    <t>16. melléklet</t>
  </si>
  <si>
    <t>Csurgó Város Önkormányzat pénzeszközeinek változása 2012. évben</t>
  </si>
  <si>
    <t>Hónap/Intézmény</t>
  </si>
  <si>
    <t>Csurgó Város Önkormányzat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</si>
  <si>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</si>
  <si>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</si>
  <si>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</si>
  <si>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</si>
  <si>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</si>
  <si>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</si>
  <si>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</si>
  <si>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</si>
  <si>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</si>
  <si>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</si>
  <si>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</si>
  <si>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</si>
  <si>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</si>
  <si>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15. melléklet</t>
  </si>
  <si>
    <t>17. melléklet</t>
  </si>
  <si>
    <t>18.  melléklet</t>
  </si>
  <si>
    <t>Csurgó Város Önkormányzat tulajdonában álló gazdálkodó szervezetek működéséből származó kötelezettségek, illetve a részesedések alakulása 2012-ben</t>
  </si>
  <si>
    <t>(adatok e Ft-ban)</t>
  </si>
  <si>
    <t>Gazdasági társaság neve</t>
  </si>
  <si>
    <t>Részesedésünk</t>
  </si>
  <si>
    <t>Társaság Kötelezettsége</t>
  </si>
  <si>
    <t>Részesedés aránya</t>
  </si>
  <si>
    <t>Bruttó érték</t>
  </si>
  <si>
    <t>Értékvesztés</t>
  </si>
  <si>
    <t>Nettó érték</t>
  </si>
  <si>
    <t>Délzalai Víz- és csatornamű Zrt.</t>
  </si>
  <si>
    <t>Csurgói Ipari Park Kft.</t>
  </si>
  <si>
    <t>Biokom Környezetgazdálkodási Kft.</t>
  </si>
  <si>
    <t>1% alatt</t>
  </si>
  <si>
    <t>Somogy Megyei Temetkezési Szolg. Kft.</t>
  </si>
  <si>
    <t>Csurgói Sportcsarnok Üzm. Nonp. Kft.</t>
  </si>
  <si>
    <t>Csurgói Egészségügyi Centrum Szolg. Nonp Kft.</t>
  </si>
  <si>
    <t>Csurgói Geotermia Zrt.</t>
  </si>
  <si>
    <t>Összsen</t>
  </si>
  <si>
    <t xml:space="preserve">I. Felhalmozási és tőkejellegű bevételek </t>
  </si>
  <si>
    <t>Ingatlanértékesítések összesen</t>
  </si>
  <si>
    <t>Kamatmentes építési kölcsön törlesztése</t>
  </si>
  <si>
    <t>Földhaszonbérleti díjak</t>
  </si>
  <si>
    <t>Közterületbérleti díjak</t>
  </si>
  <si>
    <t>Víziközmű használati díj bevétele adóalap</t>
  </si>
  <si>
    <t>Víziközmű használati díj bevétele áfa</t>
  </si>
  <si>
    <t>Önkormányzatok sajátos felhalmozási és tőkebevételei összesen</t>
  </si>
  <si>
    <t>Múzeumi bevételi terv</t>
  </si>
  <si>
    <t>Beiratkozási-, késedelmi díj</t>
  </si>
  <si>
    <t>Fénymásolás, nyomtatás, stb.</t>
  </si>
  <si>
    <t>Egyéb bevétel</t>
  </si>
  <si>
    <t xml:space="preserve">Könyvtári szolgáltatási bevételek </t>
  </si>
  <si>
    <t>Áfa bevétel</t>
  </si>
  <si>
    <t>Bevételek, átvett pénzeszközök összesen</t>
  </si>
  <si>
    <t>FEJLESZTÉS</t>
  </si>
  <si>
    <t>MOZGÓKÖNYVTÁR</t>
  </si>
  <si>
    <t>KIADÁS</t>
  </si>
  <si>
    <t>MÚZEUM</t>
  </si>
  <si>
    <t>KÖNYVTÁR</t>
  </si>
  <si>
    <t>KIADÁSOK ÖSSZESEN</t>
  </si>
  <si>
    <t>KIADÁS ÉS FEJLESZTÉS MINDÖSSZESEN</t>
  </si>
  <si>
    <t>Csurgó, 2012. január 27.</t>
  </si>
  <si>
    <t>igazgató</t>
  </si>
  <si>
    <t>ÖSSZEHASONLÍTÓ ADATOK</t>
  </si>
  <si>
    <t>VÁROSI KÖNYVTÁR</t>
  </si>
  <si>
    <t>2011. évi
eredeti előirányzat (eFt)</t>
  </si>
  <si>
    <t>Változás</t>
  </si>
  <si>
    <t>2012. évi
terv (eFt)</t>
  </si>
  <si>
    <t>Bér</t>
  </si>
  <si>
    <t>Járulék</t>
  </si>
  <si>
    <t>Dologi</t>
  </si>
  <si>
    <t>Fejlesztési kiadások</t>
  </si>
  <si>
    <t>Bevételek</t>
  </si>
  <si>
    <t>A Városi Könyvtár önkormányzati finanszírozásának
tervezett  változása az előző évi
eredeti előirányzathoz viszonyítva</t>
  </si>
  <si>
    <t>Év</t>
  </si>
  <si>
    <t>A Városi Könyvtár
finanszírozásának változása az eredeti
költségvetési előirányzatok alapján
(kiadás-bevétel) (eFt)</t>
  </si>
  <si>
    <t>Változás (eFt)</t>
  </si>
  <si>
    <t>Változás
%</t>
  </si>
  <si>
    <t>Értékkövető (inflációval növelt)
 finanszírozás, elméletben 2005-től</t>
  </si>
  <si>
    <t>Infláció-
követés
(eFt)</t>
  </si>
  <si>
    <t>Bursa Hungarica</t>
  </si>
  <si>
    <t>3.2. melléklet</t>
  </si>
  <si>
    <t>3.1. melléklet</t>
  </si>
  <si>
    <t>…/2012. (…..) sz. rendelet</t>
  </si>
  <si>
    <t>2012. évi előirányzatai</t>
  </si>
  <si>
    <t>1. melléklet</t>
  </si>
  <si>
    <t>1.1 melléklet</t>
  </si>
  <si>
    <t>ÁHT.-N KÍVÜLRŐL MŰKÖDÉSRE ÁTVETT PÉNZESZKÖZÖK ÖSSZESEN</t>
  </si>
  <si>
    <t>Működési tartalék</t>
  </si>
  <si>
    <t>3060206</t>
  </si>
  <si>
    <t>2014</t>
  </si>
  <si>
    <t>3061406</t>
  </si>
  <si>
    <t>3060306</t>
  </si>
  <si>
    <t>A</t>
  </si>
  <si>
    <t>3021106</t>
  </si>
  <si>
    <t>* KJT. 66.§ 3. = garantált illetmény 7 %-a (további szakképesítés) szorzó : 1,07</t>
  </si>
  <si>
    <t>Hosszú lejáratú EU-s pályázat előfinanszírozását szolgáló hitel (IPA)</t>
  </si>
  <si>
    <t>910 123 : MOZGÓKÖNYVTÁRBAN FOGLALKOZTATOTTAK</t>
  </si>
  <si>
    <t>Ellátóhely</t>
  </si>
  <si>
    <t>8 órás MT</t>
  </si>
  <si>
    <t>4 órás MT</t>
  </si>
  <si>
    <t>MT</t>
  </si>
  <si>
    <t>Pogányszentpéter</t>
  </si>
  <si>
    <t>910 123 : KÜLSŐS (MEGBÍZÁSI DÍJAK) (mozgókönyvtár)</t>
  </si>
  <si>
    <t>Megbízás kezdete</t>
  </si>
  <si>
    <t>Megbízás vége</t>
  </si>
  <si>
    <t>Lakosságtól szennyvízberuházásra átvett</t>
  </si>
  <si>
    <t>a. Lakosságtól szennyvízberuházás II. átvett (társulás)</t>
  </si>
  <si>
    <t>Hosszú lejáratú EU-s pályázat előfinanszírozását szolgáló fejlesztés hitel tőketörlesztése (IPA)</t>
  </si>
  <si>
    <t>Folyószámlahitel</t>
  </si>
  <si>
    <t xml:space="preserve">Folyószámlahitel kamatai </t>
  </si>
  <si>
    <t>Munkabérhitel</t>
  </si>
  <si>
    <t>Munkabérhitel kamatai</t>
  </si>
  <si>
    <t>Hosszúlejáratú hitelek kamattörlesztése összesen</t>
  </si>
  <si>
    <t>3 havi BUBOR és 4,5 % (12%)</t>
  </si>
  <si>
    <t>Csurgó Belterületi Vízrendezés áfa</t>
  </si>
  <si>
    <t>Trianoni emlékmű</t>
  </si>
  <si>
    <t>Trianoni emlékmű áfa</t>
  </si>
  <si>
    <t>Megnevezés, indoklás</t>
  </si>
  <si>
    <t>Előirányzat összege</t>
  </si>
  <si>
    <t>910-122 Könyvtári tevékenység</t>
  </si>
  <si>
    <t>Előirányzat</t>
  </si>
  <si>
    <t>Teljesítés</t>
  </si>
  <si>
    <t xml:space="preserve">1 fő (H11) 3181136 </t>
  </si>
  <si>
    <t>előző év december havi</t>
  </si>
  <si>
    <t>1 fő (F2) 3060206</t>
  </si>
  <si>
    <t>1 fő (F14) 3061406</t>
  </si>
  <si>
    <t>1 fő (F3) 3060306</t>
  </si>
  <si>
    <t>Főkönyv össz.</t>
  </si>
  <si>
    <t>1 fő vezetői pótlék</t>
  </si>
  <si>
    <t>(20 000 x 225 %) x 12</t>
  </si>
  <si>
    <t>Napidíj</t>
  </si>
  <si>
    <t>Közlekedési költségtérítés</t>
  </si>
  <si>
    <t>Teljesítményösztönző keretösz. KJT 77 §. (2 %) =</t>
  </si>
  <si>
    <t>12.835 X 0,02 = 257 e Ft</t>
  </si>
  <si>
    <t>1 fő részmunkaidős (A8) 3010806</t>
  </si>
  <si>
    <t>SZEMÉLYI JUTTATÁS ÖSSZESEN</t>
  </si>
  <si>
    <t>JÁRULÉKOK</t>
  </si>
  <si>
    <t>Szociális hozzájárulási adó</t>
  </si>
  <si>
    <t>27 %</t>
  </si>
  <si>
    <t>JÁRULÉKOK ÖSSZESEN</t>
  </si>
  <si>
    <t>54-57</t>
  </si>
  <si>
    <t>Dologi és egyéb kiadások</t>
  </si>
  <si>
    <t>Könyvvásárlás</t>
  </si>
  <si>
    <t>Folyóiratvásárlás</t>
  </si>
  <si>
    <t>Szakmai anyag beszerzés</t>
  </si>
  <si>
    <t>Egyéb kis értékű tárgyi eszköz beszerzés</t>
  </si>
  <si>
    <t>Egyéb készletbeszerzés</t>
  </si>
  <si>
    <t>Készletbeszerzés összesen</t>
  </si>
  <si>
    <t>Nem adatátviteli célú távközlési díj</t>
  </si>
  <si>
    <t>Egyéb kommunikációs szolg.</t>
  </si>
  <si>
    <t>Gázenergia szolgáltatás</t>
  </si>
  <si>
    <t>Villamosenergia szolgáltatás</t>
  </si>
  <si>
    <t>Víz- és csatornadíj</t>
  </si>
  <si>
    <t>Karbantartás, kisjavítás</t>
  </si>
  <si>
    <t>Egyéb üzemeltetési kiadások</t>
  </si>
  <si>
    <t>Szemétszállítás</t>
  </si>
  <si>
    <t>Vásárolt közszolgáltatás</t>
  </si>
  <si>
    <t>Különféle szolgáltatások kiadásai</t>
  </si>
  <si>
    <t>Vásárolt termékek ÁFÁ-ja</t>
  </si>
  <si>
    <t>Beszerzett könyvtári dokumentumok ÁFA-ja</t>
  </si>
  <si>
    <t>Reklám és propagandakiadások</t>
  </si>
  <si>
    <t>Egyéb befiz. kötelezetts. (rehab. hozzáj.)</t>
  </si>
  <si>
    <t>Különféle dologi kiadások, egyéb folyó kiadások össz.</t>
  </si>
  <si>
    <t>Dologi és egyéb kiadások (910-122) összesen:</t>
  </si>
  <si>
    <t>Városi Könyvtár kiadásai összesen:</t>
  </si>
  <si>
    <t>910-203 múzeumi tevékenység</t>
  </si>
  <si>
    <t xml:space="preserve">1 fő (D10) 3241006 </t>
  </si>
  <si>
    <t>1 fő egyéb feltételtől függő pótlék</t>
  </si>
  <si>
    <t>(20 000 x 170 %) x 2 hó</t>
  </si>
  <si>
    <t>1 fő részmunkaidős (A4) 3010506</t>
  </si>
  <si>
    <t>Teljesítményösztönző keretösz. KTrv. 57 §. (2 %) =</t>
  </si>
  <si>
    <t>Szakmai anyag és kisértékű t. e.</t>
  </si>
  <si>
    <t>Adatátviteli célú távközlési díj</t>
  </si>
  <si>
    <t>Szemétszállítási díj</t>
  </si>
  <si>
    <t>Egyéb befizetési kötelezettség (rehab. hozzájár.)</t>
  </si>
  <si>
    <t>Különféle dologi kiadások összesen</t>
  </si>
  <si>
    <t>Dologi és egyéb kiadások (910-203) összesen:</t>
  </si>
  <si>
    <t>Múzeumi kiadások összesen:</t>
  </si>
  <si>
    <t>910-123 Könyvtári tevékenység: mozgókönyvtár</t>
  </si>
  <si>
    <t>1 fő 8 órás (V.A)</t>
  </si>
  <si>
    <t>1 fő 8 órás (K.Gy.) 6 hónapra</t>
  </si>
  <si>
    <t>1 fő (6 órás) Porrog</t>
  </si>
  <si>
    <t>1 fő (4 órás) Porrogszentpál</t>
  </si>
  <si>
    <t>1 fő (6 órás) Pogányszentpéter</t>
  </si>
  <si>
    <t>1 fő (4 órás) Gyékényes</t>
  </si>
  <si>
    <t>1 fő (4 órás) Szenta</t>
  </si>
  <si>
    <t>Állományba nem tartozók juttatásai</t>
  </si>
  <si>
    <t>Megbízási díjas (Csnagymarton)</t>
  </si>
  <si>
    <t>Megbízási díjas (Sbükkösd)</t>
  </si>
  <si>
    <t>Megbízási díjas (Scsicsó)</t>
  </si>
  <si>
    <t>Megbízási díjas (Zákány)</t>
  </si>
  <si>
    <t>Megbízási díjas (Zákányfalu)</t>
  </si>
  <si>
    <t>Megbízási díjas (Gyékényes)</t>
  </si>
  <si>
    <t>Megbízási díjas (Inke)</t>
  </si>
  <si>
    <t>Megbízási díjas (Porrog)</t>
  </si>
  <si>
    <t>Megbízási díjas (Porrogszentpál)</t>
  </si>
  <si>
    <t>Megbízási díjas (Pogánysztpéter)</t>
  </si>
  <si>
    <t>Megbízási díjas (Sudvarhely)</t>
  </si>
  <si>
    <t>Megbízási díjas (Szenta)</t>
  </si>
  <si>
    <t>910-123 Könyvtári tevékenység : mozgókönyvtár</t>
  </si>
  <si>
    <t>54-56</t>
  </si>
  <si>
    <t>Egyéb üzemeltetési kiadások (üzemanyag beszerzés)</t>
  </si>
  <si>
    <t>Dologi és egyéb kiadások (910-123) összesen:</t>
  </si>
  <si>
    <t>Mozgókönyvtár kiadásai összesen:</t>
  </si>
  <si>
    <t>910-122 ; 910-123 Könyvtári (mozgókönyvtári) tevékenység</t>
  </si>
  <si>
    <t>MOZGÓKÖNYVTÁRI FEJLESZTÉS</t>
  </si>
  <si>
    <t>Beruházás, fejlesztés</t>
  </si>
  <si>
    <t>Intézményi beruházások áfája</t>
  </si>
  <si>
    <t>Fejlesztés, beruházás összesen:</t>
  </si>
  <si>
    <t>46-91</t>
  </si>
  <si>
    <t>BEVÉTELEK, ÁTVETT PÉNZESZKÖZÖK</t>
  </si>
  <si>
    <t>Érdekeltségnövelő, és egyéb támogatás</t>
  </si>
  <si>
    <t>Könyvtár működési célú támogatásértékű bev.</t>
  </si>
  <si>
    <t>Eötvös Iskola konyha</t>
  </si>
  <si>
    <t>021</t>
  </si>
  <si>
    <t>Rákóczi Iskola oktatás</t>
  </si>
  <si>
    <t>026</t>
  </si>
  <si>
    <t>Rákóczi Iskola konyha</t>
  </si>
  <si>
    <t>030</t>
  </si>
  <si>
    <t>041</t>
  </si>
  <si>
    <t>Városi Könyvtár</t>
  </si>
  <si>
    <t>043</t>
  </si>
  <si>
    <t>Réti József Műv. Okt. Int.</t>
  </si>
  <si>
    <t>045</t>
  </si>
  <si>
    <t>Városi Múzeum</t>
  </si>
  <si>
    <t>049</t>
  </si>
  <si>
    <t>Réti József Művészeti Iskola</t>
  </si>
  <si>
    <t>2012. évi költségvetési előirányzatok összesítése</t>
  </si>
  <si>
    <t>Egységkód</t>
  </si>
  <si>
    <t>ezer forintban</t>
  </si>
  <si>
    <t>Müködési kiadások</t>
  </si>
  <si>
    <t>Közalkalmazott alapilletménye</t>
  </si>
  <si>
    <t>Költségfelosztásból</t>
  </si>
  <si>
    <t>Alapilletmény összesen:</t>
  </si>
  <si>
    <t>Magasabb vezetői pótlék</t>
  </si>
  <si>
    <t>Vezető helyettesi pótlék</t>
  </si>
  <si>
    <t>Osztályfőnöki pótlék</t>
  </si>
  <si>
    <t>Diákönk.pótlék</t>
  </si>
  <si>
    <t>Számitástech.pótl.</t>
  </si>
  <si>
    <t>Munkaköz.vez pótlék</t>
  </si>
  <si>
    <t>Gyógyped.pótlék</t>
  </si>
  <si>
    <t>Területi pótlék</t>
  </si>
  <si>
    <t>Egyéb kötelező ill. pótlék összesen</t>
  </si>
  <si>
    <t>Túlóra</t>
  </si>
  <si>
    <t>Helyettesités</t>
  </si>
  <si>
    <t>Minőségi ker.kiegészités</t>
  </si>
  <si>
    <t>Egyéb munkavégzéshez kapcs.jutt.</t>
  </si>
  <si>
    <t>Jubileumi jutalom (KÖLTSÉGFELOSZTÁSBÓL)</t>
  </si>
  <si>
    <t>Napidij</t>
  </si>
  <si>
    <t>Egyéb sajátos juttatások /ped.szakvizsga/</t>
  </si>
  <si>
    <t>Közlekedési költségtérités</t>
  </si>
  <si>
    <t>Étkezési hozzájárulás</t>
  </si>
  <si>
    <t>Egyéb költstér. és hozzájár. (ped.szakirodalom)</t>
  </si>
  <si>
    <t>Személyhez kapcs.költségtér.és hozzájár össz.</t>
  </si>
  <si>
    <t>Felmentett munkavállaló juttatásai</t>
  </si>
  <si>
    <t>Elsőfokú építési hatóság</t>
  </si>
  <si>
    <t xml:space="preserve">Polgármesteri Hivatal  </t>
  </si>
  <si>
    <t>Képviselő Testület</t>
  </si>
  <si>
    <t>Cigány Kisebbségi Önkorm.</t>
  </si>
  <si>
    <t>Városgazdálkodási Kft.</t>
  </si>
  <si>
    <t xml:space="preserve">Szennyvízkezelés </t>
  </si>
  <si>
    <t>Köztisztasági feladatok</t>
  </si>
  <si>
    <t>Temetőfenntartás</t>
  </si>
  <si>
    <t>CSTV</t>
  </si>
  <si>
    <t>Közhasznú Foglalkoztatás</t>
  </si>
  <si>
    <t xml:space="preserve">Munkaügyi Központ </t>
  </si>
  <si>
    <t>támogatásából</t>
  </si>
  <si>
    <t>Közmunka Program</t>
  </si>
  <si>
    <t>Többcélú Társulásnál</t>
  </si>
  <si>
    <t>Közcélú Foglalkoztatás</t>
  </si>
  <si>
    <t>Fürdő-és strandszolgáltatás</t>
  </si>
  <si>
    <t>CSTK sportpálya fenntartás</t>
  </si>
  <si>
    <t>Sportcsarnok</t>
  </si>
  <si>
    <t>09</t>
  </si>
  <si>
    <t>Vállalkozási tevékenység</t>
  </si>
  <si>
    <t>Csurgó, 2012.01.17</t>
  </si>
  <si>
    <t>ügyvezető igazgató</t>
  </si>
  <si>
    <t>Polgármesteri Hivatal szervezetfejlesztés ÁROP támogatása (szoftverek)</t>
  </si>
  <si>
    <t>Városrehabilitáció LHH támogatás</t>
  </si>
  <si>
    <t>Városrehabilitáció EU önerő alap támogatás</t>
  </si>
  <si>
    <t>Horvát-magyar IPA támogatás</t>
  </si>
  <si>
    <t>Jézus Szíve Katolikus Plébánia felújítás (városrehabilitáció konzorciós partner)</t>
  </si>
  <si>
    <t>Felhalmozási célú támogatásértékű bevételek összesen</t>
  </si>
  <si>
    <t>III. Felhalmozási célra államháztartáson kívülről átvett pénzeszközök</t>
  </si>
  <si>
    <t>Jézus Szíve Katolikus Plébánia felújítására (Városrehabilitáció konzorciós partner) önerőre átvett pénzeszköz</t>
  </si>
  <si>
    <t>Felhalmozási célra államháztartáson kívülről átvett pénzeszközök összesen</t>
  </si>
  <si>
    <t>Belső ellenőr</t>
  </si>
  <si>
    <t>Cafeteria</t>
  </si>
  <si>
    <t>Egyéb dologi</t>
  </si>
  <si>
    <t>IV. Költségvetési támogatások felhalmozásra</t>
  </si>
  <si>
    <t>V. Felhalmozási kiadásokhoz kapcsolódó áfa visszatérülés</t>
  </si>
  <si>
    <t>VI. Fejlesztési célú hitelek felvétele</t>
  </si>
  <si>
    <t>Fejlesztési célú hitelek felvétele összesen</t>
  </si>
  <si>
    <t>FELHALMOZÁSI BEVÉTELEK</t>
  </si>
  <si>
    <t>FELHALMOZÁSI KIADÁSOK</t>
  </si>
  <si>
    <t>Városrehabilitáció (LHH) áfa</t>
  </si>
  <si>
    <t>Jézus Szíve Katolikus Plébánia felújítás (Városrehabilitáció konzorciós partner)</t>
  </si>
  <si>
    <t>Foglalkoztatást helyettesítő támogatás (80 %)</t>
  </si>
  <si>
    <t>Porrog</t>
  </si>
  <si>
    <t>Porrogszentkirály</t>
  </si>
  <si>
    <t>Porrogszentpál</t>
  </si>
  <si>
    <t>Somogybükkösd</t>
  </si>
  <si>
    <t>Somogyudvarhely</t>
  </si>
  <si>
    <t>Előző évi hátralék</t>
  </si>
  <si>
    <t>Bejáró tanuló, fő</t>
  </si>
  <si>
    <t>IX. Értékesített tárgyi eszközök, immateriális javak áfa befizetése</t>
  </si>
  <si>
    <t xml:space="preserve">     a) Viziközmű használati díj áfa befizetése</t>
  </si>
  <si>
    <t xml:space="preserve">                    Hosszúlejáratú hitelek törlesztése kamattal</t>
  </si>
  <si>
    <t>Bejáró óvodás, fő</t>
  </si>
  <si>
    <t>Bejáró iskolás után fizetendő, Ft</t>
  </si>
  <si>
    <t>Bejáró óvodás után fizetendő, Ft</t>
  </si>
  <si>
    <t>Fizetendő mindösszesen</t>
  </si>
  <si>
    <t>Rendezvényekre támogatás</t>
  </si>
  <si>
    <t>Társasházi megbizott megbízási díja</t>
  </si>
  <si>
    <t>Személyi juttatások összesen:</t>
  </si>
  <si>
    <t>Munkáltatót terhelő járulékok összesen</t>
  </si>
  <si>
    <t>Egyéb bérrendszer munkabére (Dingó János gkv.)</t>
  </si>
  <si>
    <t>(10 fő x 40.000 Ft)</t>
  </si>
  <si>
    <t xml:space="preserve"> - Somogyudvarhelyi Általános Iskola</t>
  </si>
  <si>
    <t>Közösségi Ház</t>
  </si>
  <si>
    <t>2018.</t>
  </si>
  <si>
    <t>2019.</t>
  </si>
  <si>
    <t>2020.</t>
  </si>
  <si>
    <t>2021.</t>
  </si>
  <si>
    <t>viziközmű használati díj (+)</t>
  </si>
  <si>
    <t>Költségvetés 2010.</t>
  </si>
  <si>
    <t>682001 - 112 - Lakásgazdálkodás (lakóingatlan bérbeadása, üzemeltetése)</t>
  </si>
  <si>
    <t>841124 - 114 - Gyámhivatal</t>
  </si>
  <si>
    <t>682002-112-Lakásgazdálkodás (Nem lakóingatlanok)</t>
  </si>
  <si>
    <t>841126 - 116 - Önkormányzati igazgatás</t>
  </si>
  <si>
    <t>841112 - 117 - Képviselő testület</t>
  </si>
  <si>
    <t>841126 - 166 - Többcélú Társulás munkaszervezete</t>
  </si>
  <si>
    <t>841127 - 118 - CKÖ</t>
  </si>
  <si>
    <t>841125 - 115 - Építési hatóság</t>
  </si>
  <si>
    <t>842531 - 120 - Polgárvédelem</t>
  </si>
  <si>
    <t>841402 - 128 - Közvilágítás</t>
  </si>
  <si>
    <t>931102 - 172 - Sportcsarnok</t>
  </si>
  <si>
    <t>602000 -144 -   CSTV</t>
  </si>
  <si>
    <t>910501 - 113 - Közösségi Ház</t>
  </si>
  <si>
    <t xml:space="preserve">          841901 - 132 Önkormányzatok feladatra nem tervezhető elszámolása                       </t>
  </si>
  <si>
    <t>882129 - 134 - Szociális étkeztetés támogatása</t>
  </si>
  <si>
    <t xml:space="preserve"> Rendsz.szoc.pénzbeni ellátások</t>
  </si>
  <si>
    <t>882117 - 134 - Rendsz.gyv.pénzb.ellátások</t>
  </si>
  <si>
    <t>882111 - 134 - Munkanélküli ellátások</t>
  </si>
  <si>
    <t>583113/882112</t>
  </si>
  <si>
    <t>5831141/882113</t>
  </si>
  <si>
    <t>Fők.szla/szakf.</t>
  </si>
  <si>
    <t>58311611/882115</t>
  </si>
  <si>
    <t>58311612/882115</t>
  </si>
  <si>
    <t>5831162/882116</t>
  </si>
  <si>
    <t xml:space="preserve"> 136 - Eseti pénzb. ellátások</t>
  </si>
  <si>
    <t>5831149/882114</t>
  </si>
  <si>
    <t>5831172/882123</t>
  </si>
  <si>
    <t>5831225/882203</t>
  </si>
  <si>
    <t>583123/882202</t>
  </si>
  <si>
    <t>5831171/882129</t>
  </si>
  <si>
    <t>882124 - 136 - Eseti pénzb. gyv. ellátások</t>
  </si>
  <si>
    <t>841126 - 116 Finanszírozási műveletek elszámolása</t>
  </si>
  <si>
    <t xml:space="preserve">Köztisztviselő jubileumi jutaloma </t>
  </si>
  <si>
    <t>Munkáltató által fizetett SZJA</t>
  </si>
  <si>
    <t>Fokozottan súlyos fogyatékos (75 %os tám.)</t>
  </si>
  <si>
    <t>Súlyos fogyatékos (75 %-os tám.)</t>
  </si>
  <si>
    <t>Köztisztviselők üdülési hozzájárulása</t>
  </si>
  <si>
    <t xml:space="preserve">Teljesítményértékelésre keret: </t>
  </si>
  <si>
    <t>Ápolási díj + TB - alanyi jogon 75%-ának normatív része</t>
  </si>
  <si>
    <t>Köztisztviselők keresetkiegészítése</t>
  </si>
  <si>
    <t>841133 - 116 - Adó kiszabása, beszedése</t>
  </si>
  <si>
    <t>Egészségbiztosítási és munkaerőpiaci járulék</t>
  </si>
  <si>
    <t>Munkáltató által fizetendő SZJA</t>
  </si>
  <si>
    <t>(8 fő x 31350Ft/fő/hó x 12 hó)</t>
  </si>
  <si>
    <t>Ápolási díj TB járuléka 24 %</t>
  </si>
  <si>
    <t>53112/882115</t>
  </si>
  <si>
    <t>53112/882116</t>
  </si>
  <si>
    <t>Járulékok összesen:</t>
  </si>
  <si>
    <t>Ápolási díj - alanyi jogon (75%)</t>
  </si>
  <si>
    <t>Ápolási díj TB járuléka (24%)</t>
  </si>
  <si>
    <t>Normatív kötött támogatás</t>
  </si>
  <si>
    <t>Viziközmű felújítás (használati díjból)</t>
  </si>
  <si>
    <t>Tűzoltóság tűzoltóautóra felvett hitel törlesztésére átadás</t>
  </si>
  <si>
    <t>Kiszámlázott helyiségbérleti díjak áfa befizetése</t>
  </si>
  <si>
    <t>91 Intézményi működési bevételek</t>
  </si>
  <si>
    <t>Kiszámlázott helyiségbérleti díjak áfája</t>
  </si>
  <si>
    <t>INTÉZMÉNYI MŰKÖDÉSI BEVÉTELEK ÖSSZESEN</t>
  </si>
  <si>
    <t>MŰKÖDÉSI BEVÉTELEK ÖSSZESEN</t>
  </si>
  <si>
    <t>össz.</t>
  </si>
  <si>
    <t>CSKTT-től kötelező feladatokra átvett normatívák</t>
  </si>
  <si>
    <t>Teljes munkaidőben foglalkoztatottak szem. jutt. össz.:</t>
  </si>
  <si>
    <t>szakfeladat</t>
  </si>
  <si>
    <t xml:space="preserve">MŰKÖDÉSI CÉLÚ PÉNZESZKÖZ ÁTADÁS </t>
  </si>
  <si>
    <t>381152…</t>
  </si>
  <si>
    <t>Előírás 2012. évre, ezer Ft</t>
  </si>
  <si>
    <t>Körjegyzőség 2012.</t>
  </si>
  <si>
    <t xml:space="preserve"> Informatika 211200Ft/hó+27%</t>
  </si>
  <si>
    <t>Közfoglalkoztatásra Munkaügyi Központtól 2012</t>
  </si>
  <si>
    <t>Bérkompenzáció</t>
  </si>
  <si>
    <t>Nyárádi 12. 9 961 Ft/negyedév</t>
  </si>
  <si>
    <t>MŰKÖDÉSI  KIADÁSOK MINDÖSSZESEN:</t>
  </si>
  <si>
    <t>Csurgó, 2012. január 09.</t>
  </si>
  <si>
    <t>Készítette: Csordás Istvánné</t>
  </si>
  <si>
    <t>2012.évi költségvetési BEVÉTELEK</t>
  </si>
  <si>
    <t xml:space="preserve">Bérleti és lizingdij </t>
  </si>
  <si>
    <t>büfébérlet, vendéglakás, helyiség nyári hasznosítása</t>
  </si>
  <si>
    <t>Intézményi ellátás dijbevétel</t>
  </si>
  <si>
    <t xml:space="preserve">bölcsödei, óvodai, napközi ellátás díja, térítési és tandíj, szociális étkeztetés, ápolás, diákigazolvány, </t>
  </si>
  <si>
    <t>Alkalmazottak térítése</t>
  </si>
  <si>
    <t xml:space="preserve">alkalmazottak étkezési díj,fénymásolás, </t>
  </si>
  <si>
    <t>Átvett  pénzeszköz</t>
  </si>
  <si>
    <t>Arany János Általános Iskola, Somogyudvarhely</t>
  </si>
  <si>
    <t>095</t>
  </si>
  <si>
    <t>Egyéb munkavégzéshez kapcs.jutt.(min.ker.kieg.)</t>
  </si>
  <si>
    <t>Egyéb munkavégzéshez kapcs.jutt.összesen</t>
  </si>
  <si>
    <t xml:space="preserve">Jubileumi jutalom </t>
  </si>
  <si>
    <t>Foglalkoztatottak sajátos juttatásai összesen</t>
  </si>
  <si>
    <t>Egyéb költsgtér. és hozzájár. (ped.szakirodalom)</t>
  </si>
  <si>
    <t>Személyi jellegű juttatások és járulékok mindösszesen:</t>
  </si>
  <si>
    <t>2011. október 1-jei statisztika alapján</t>
  </si>
  <si>
    <t>Alsó tag.</t>
  </si>
  <si>
    <t>50 fő</t>
  </si>
  <si>
    <t>Felső tag.</t>
  </si>
  <si>
    <t>27 fő</t>
  </si>
  <si>
    <t>77 fő</t>
  </si>
  <si>
    <t>Készletbeszerzés</t>
  </si>
  <si>
    <t>Vásárolt élelmezés</t>
  </si>
  <si>
    <t>Szolgáltatások</t>
  </si>
  <si>
    <t xml:space="preserve">Vásárolt közszolgáltatás </t>
  </si>
  <si>
    <t xml:space="preserve">Számlázott szellemi tevékenység </t>
  </si>
  <si>
    <t>Normatív kötött közoktatási feladatokra</t>
  </si>
  <si>
    <t>Normatív kötött tám. Egyes szociális fa.-hoz</t>
  </si>
  <si>
    <t>Somogyudvarhelyi Önk.-tól tagint. Költségeire</t>
  </si>
  <si>
    <t>Arany J. ösztöndíj</t>
  </si>
  <si>
    <t>Somogyudvarhelyi Önk.-tól tagintézmény költségeire</t>
  </si>
  <si>
    <t>Sportcsarnokra (PPP)</t>
  </si>
  <si>
    <t>Egyéb üzemeltetési, fenntartási szolgáltatások GA-BU Média Kft.</t>
  </si>
  <si>
    <t>Önkormányzat központosított támogatása</t>
  </si>
  <si>
    <t>Cigány kisebbségi önkormányzat támogatása (közp.támogatással)</t>
  </si>
  <si>
    <t>Szoc bérlak ép felvett hitel</t>
  </si>
  <si>
    <t>MFB hitel utak javítására</t>
  </si>
  <si>
    <t>1 fő febr.1-dec.31</t>
  </si>
  <si>
    <t>1 fö 100%</t>
  </si>
  <si>
    <t>Polgármesteri Hivatal</t>
  </si>
  <si>
    <t>Működési bevétel</t>
  </si>
  <si>
    <t>Önkormányzatok Önerő hozzájárulása</t>
  </si>
  <si>
    <t>Áfa (Önerő)</t>
  </si>
  <si>
    <t>Szennyvízelvezetés és tisztítás II.ütem (Szennyvíztársulás)</t>
  </si>
  <si>
    <t>Szennyvíz Eu Önerő Alap támogatás</t>
  </si>
  <si>
    <t>Szennyvíz KEOP II.ütem</t>
  </si>
  <si>
    <t>Szennyvíz KEOP II.ütem önk-októl önerőre átvett</t>
  </si>
  <si>
    <t xml:space="preserve">b. Szennyvízelvezetés és tisztítás II.ütem (Szennyvíztársulás) </t>
  </si>
  <si>
    <t>Önkormányzati lakások lakbér bev.</t>
  </si>
  <si>
    <t>Víz-, csatornadíj bevételek (önk. lakások)</t>
  </si>
  <si>
    <t>Gázdíj (önk. lakások)</t>
  </si>
  <si>
    <t>Helységbérleti díjak</t>
  </si>
  <si>
    <t>Normatív állami hj. lakosságszámhoz kötötten</t>
  </si>
  <si>
    <t>Városi rendezvényekrendezvények)</t>
  </si>
  <si>
    <t>újság kiadás</t>
  </si>
  <si>
    <t>Normatív állami hj. feladatmutatóhoz kötötten</t>
  </si>
  <si>
    <t>Rendszeres szoc segély 90%-ának normatív része</t>
  </si>
  <si>
    <t>Időskorúak járadéka 90%-ának normatív része</t>
  </si>
  <si>
    <t>Rendszeres gyvt. 90%-ának normatív része</t>
  </si>
  <si>
    <t>Lakásfenntartási támogatás 90%-ának normatív része</t>
  </si>
  <si>
    <t>Éleslátást biztosító szemüveg</t>
  </si>
  <si>
    <t>Kocsis Gyöngyi</t>
  </si>
  <si>
    <t>Országh Erika</t>
  </si>
  <si>
    <t>Irodaszer beszerzése</t>
  </si>
  <si>
    <t>Ebből:</t>
  </si>
  <si>
    <t>Szerszám beszerzése</t>
  </si>
  <si>
    <t>Egészségügyi vizsgálat</t>
  </si>
  <si>
    <t>2. Különféle szolgáltatások</t>
  </si>
  <si>
    <t>Városüzemeltetés</t>
  </si>
  <si>
    <t xml:space="preserve"> - Somogyudvarhelyi Ált.Iskola</t>
  </si>
  <si>
    <t>Foglalkoztatottak sajátos juttatásai</t>
  </si>
  <si>
    <t>CsTV működése</t>
  </si>
  <si>
    <t>Védőruha beszerzése</t>
  </si>
  <si>
    <t>Többcélú Társulás (társulási tagdíj) 65 Ft/lakos</t>
  </si>
  <si>
    <t>Többcélú Társulás (orvosi ügyeletre)</t>
  </si>
  <si>
    <t>Prémium évesek juttatásai</t>
  </si>
  <si>
    <t xml:space="preserve"> </t>
  </si>
  <si>
    <t>Ápolási díjak</t>
  </si>
  <si>
    <t>Közgyógyellátás (méltányosságból</t>
  </si>
  <si>
    <t>(110 fő x 8.000 Ft)</t>
  </si>
  <si>
    <t>Rehabilitációs hozzájárulás</t>
  </si>
  <si>
    <t>Egyéb sport támogatások</t>
  </si>
  <si>
    <t>Egyéb működési kiadások</t>
  </si>
  <si>
    <t>I. Működési bevételek</t>
  </si>
  <si>
    <t>1. Illetékek</t>
  </si>
  <si>
    <t>2. Helyi adók</t>
  </si>
  <si>
    <t>3. Átengedett központi adók</t>
  </si>
  <si>
    <t>a. SZJA</t>
  </si>
  <si>
    <t>b. gépjárműadó</t>
  </si>
  <si>
    <t>4. Bírságok, pótlékok és egyéb sajátos bevételek</t>
  </si>
  <si>
    <t>a. környezetvédelmi bírság</t>
  </si>
  <si>
    <t>b. talajterhelési díj</t>
  </si>
  <si>
    <t>c. egyéb sajátos bevételek</t>
  </si>
  <si>
    <t>2. Központosított előirányzatok</t>
  </si>
  <si>
    <t>3. Helyi önkormányzatok kiegészítő támogatása</t>
  </si>
  <si>
    <t>4. Helyi önkormányzatok álltal fenntartott, illetve támogatott előadő- művészeti szervezetek támogatása</t>
  </si>
  <si>
    <t>1. Csurgó Belterületi Vízrendezés</t>
  </si>
  <si>
    <t xml:space="preserve">2. Szennyvíz II. program (KEOP) </t>
  </si>
  <si>
    <t>Köztisztviselők alapvizsga (7fő), szakvizsga (3 fő)</t>
  </si>
  <si>
    <t>3.Városrehabilitáció LHH</t>
  </si>
  <si>
    <t>4. ÁROP (fejlesztés és működés)</t>
  </si>
  <si>
    <t>5. Horvát-magyar IPA pályázat</t>
  </si>
  <si>
    <t>6. Polgármesteri Hivatal nyílászárók cseréje "Leader"</t>
  </si>
  <si>
    <t>7. Élethosszig tartó tanulás (TÁMOP)</t>
  </si>
  <si>
    <t>8. Oktatás DDOP</t>
  </si>
  <si>
    <t>5. Normatív kötött felhasználású támogatások</t>
  </si>
  <si>
    <t>IV.Egyéb működési bevételek</t>
  </si>
  <si>
    <t>1. Támogatásértékű működési bevételek összesen</t>
  </si>
  <si>
    <t>2. Működési célú pénzeszköz átvétel államháztartáson kivülről</t>
  </si>
  <si>
    <t>3. Előző évi működési célú előirányzat - maradvány, pénzmaradvány átvétel</t>
  </si>
  <si>
    <t>4. Előző évi költségvetési kiegészítések, visszatérülések</t>
  </si>
  <si>
    <t>I. Működési kiadások</t>
  </si>
  <si>
    <t>1. Személyi juttatások</t>
  </si>
  <si>
    <t>2. Munkaadókat terhelő járulékok</t>
  </si>
  <si>
    <t>4. Ellátottak pénzbeli juttatásai</t>
  </si>
  <si>
    <t>3. Dologi kiadások</t>
  </si>
  <si>
    <t>5. Egyéb működési kiadások</t>
  </si>
  <si>
    <t>a. Támogatásértékű működési kiadások</t>
  </si>
  <si>
    <t>b. Működési célú pénzeszközátadás államháztartáson kivülre</t>
  </si>
  <si>
    <t>c. Társadalom-, szociálpolitika és egyéb juttatás, támogatás</t>
  </si>
  <si>
    <t>d. Előző évi működési célú előirányzat - maradvány, pénzmaradvány átadás</t>
  </si>
  <si>
    <t>II. Támogatási kölcsönök nyújtása, törlesztése</t>
  </si>
  <si>
    <t>III. Működési támogatások</t>
  </si>
  <si>
    <t xml:space="preserve">1. működési célú hiteltörlesztés </t>
  </si>
  <si>
    <t>TÁMOP-3.2.3</t>
  </si>
  <si>
    <t>Támop-3.2.3</t>
  </si>
  <si>
    <t>a. Városrehabilitáció (LHH)</t>
  </si>
  <si>
    <t xml:space="preserve">b.  Jézus Szíve Katolikus Plébánia felújítás (Városrehabilitáció konzorciós partner) </t>
  </si>
  <si>
    <t>c. Csurgó Belterületi Vízrendezés</t>
  </si>
  <si>
    <t>d. Trianoni emlékmű felújítása</t>
  </si>
  <si>
    <t>"Hagyomány és Innováció" oktatási pályázat DDOP (Iskola)</t>
  </si>
  <si>
    <t>(53.612.818 Ft/év + infláció 4,2%)  :1,27 X 0,60</t>
  </si>
  <si>
    <t>Csurgó Városi Iskolák és Óvodák működési célú bevételeinek előirányzatai 2012. évben</t>
  </si>
  <si>
    <t>Korrigált saját bevétel 50%-a: (HITELKORLÁT)</t>
  </si>
  <si>
    <t>Mesevár Óvoda fűtéskorszerűsítés támogatás visszafizetése</t>
  </si>
  <si>
    <t>Hiteltörlesztés</t>
  </si>
  <si>
    <t>III. Hitelek törlesztése</t>
  </si>
  <si>
    <t>IV. Pénzforgalom nélküli kiadások</t>
  </si>
  <si>
    <t>Működési támogatások</t>
  </si>
  <si>
    <t>Egyéb működési bevételek</t>
  </si>
  <si>
    <t>Támogatás értékű  műk. bev</t>
  </si>
  <si>
    <t>Támogatás értékű  műk bevétel</t>
  </si>
  <si>
    <t>II. Felhalmozási kiadások</t>
  </si>
  <si>
    <t>1. Beruházási kiadások ÁFÁ-val</t>
  </si>
  <si>
    <t>2. Felújítási kiadások ÁFÁ-val</t>
  </si>
  <si>
    <t>ebből 2011. évi pénzmaradvány</t>
  </si>
  <si>
    <t>b) költségvetési működési hiány külső finanszírozása: Önhiki támogatás</t>
  </si>
  <si>
    <t>1.2 melléklet</t>
  </si>
  <si>
    <t>2. melléklet</t>
  </si>
  <si>
    <t>4.1 melléklet</t>
  </si>
  <si>
    <t>5. melléklet</t>
  </si>
  <si>
    <t>6. melléklet</t>
  </si>
  <si>
    <t>Csurgó Város Önkormányzatának 2012. évi közvetett támogatásai</t>
  </si>
  <si>
    <t>9. melléklet</t>
  </si>
  <si>
    <t>Csurgó Város Önkormányzatának címrendje 2012. évben</t>
  </si>
  <si>
    <t>10. melléklet</t>
  </si>
  <si>
    <t>Csurgó Város Önkormányzatának európai uniós támogatással megvalósuló projektjei 2012. évben</t>
  </si>
  <si>
    <t>Rehabilitációs hozzájárulás 2012.</t>
  </si>
  <si>
    <t>gyepmesteri szolg 80000Ft/hó+25%</t>
  </si>
  <si>
    <t>862102 - III. körzet</t>
  </si>
  <si>
    <t xml:space="preserve">Pádár Zsoltné </t>
  </si>
  <si>
    <t>Közalkalmazottak ill. kieg</t>
  </si>
  <si>
    <t>177/2010(XII.15) Kt hat orvosnak 220.500 Ft/hó kieg</t>
  </si>
  <si>
    <t>Közalakalmazottak utazási költségtérítése</t>
  </si>
  <si>
    <t>orvos Kt hat 50000Ft/hó</t>
  </si>
  <si>
    <t>Szabálysértési bírság</t>
  </si>
  <si>
    <t>Helyszíni és szabálysértési bírság</t>
  </si>
  <si>
    <t>Éleslátást biztosító szemüveg (20 fő X 38.650 Ft X 0,3)</t>
  </si>
  <si>
    <t>Egyéb megbízási díjak (tolmácsolás, szakértői díj stb.)</t>
  </si>
  <si>
    <t>Intézmények fűtés ellenőrzése (1 fő 50.000 Ft/hó)</t>
  </si>
  <si>
    <t xml:space="preserve">továbbképzés oktatás </t>
  </si>
  <si>
    <t>dr Bojtor Éva 2010.01.01 H1 besorolás 129500</t>
  </si>
  <si>
    <t>Munkaruha, védőruha</t>
  </si>
  <si>
    <t>személyügy megbízási díja (1 fő 100000Ft/fő/hó)</t>
  </si>
  <si>
    <t>Alapilletmény</t>
  </si>
  <si>
    <t>jubielum</t>
  </si>
  <si>
    <t>végkielégítés</t>
  </si>
  <si>
    <t>Horváth József dr.</t>
  </si>
  <si>
    <t>Dingó János</t>
  </si>
  <si>
    <t>Kovács Tamás Zoltán</t>
  </si>
  <si>
    <t>vez pótlék</t>
  </si>
  <si>
    <t>Pádár Zsoltné</t>
  </si>
  <si>
    <t>Bojtor Éva dr.</t>
  </si>
  <si>
    <t>III. körzet</t>
  </si>
  <si>
    <t>Önkormányzati</t>
  </si>
  <si>
    <t xml:space="preserve">Teljes munkaidős köztisztviselők </t>
  </si>
  <si>
    <t>1 fő 160000Ft/hó</t>
  </si>
  <si>
    <t>3 havi BUBOR és 3,25%; 9,25%</t>
  </si>
  <si>
    <t>Intézményi működési bevétel</t>
  </si>
  <si>
    <t>Átvett pénzeszköz mentortanárra</t>
  </si>
  <si>
    <t>Somogyudvarhelyi Önkormányzat hozzájárulása a Somogyudvarhelyi Általános Iskola 2011. évi működési költségeihez</t>
  </si>
  <si>
    <t>Többc.Társ.-tól oktatási normatíva</t>
  </si>
  <si>
    <t>Körjegyzőséghez</t>
  </si>
  <si>
    <t>-Mozgókönyvtár</t>
  </si>
  <si>
    <t>Közösségi Ház működésére Csurgói Sportcsarnok Kft.-nek működésre átadás</t>
  </si>
  <si>
    <t>Városrehabilitáció (LHH)</t>
  </si>
  <si>
    <t>Horvát-magyar IPA pályázat</t>
  </si>
  <si>
    <t>CKÖ támogatás (központosított és önkormányzati)</t>
  </si>
  <si>
    <t>Festetics ösztöndíj</t>
  </si>
  <si>
    <t>381152..</t>
  </si>
  <si>
    <t>Össz.</t>
  </si>
  <si>
    <t>Kovács Tamás</t>
  </si>
  <si>
    <t>ÁROP támogatás Polgármesteri Hivatal szervezetfejlesztésére</t>
  </si>
  <si>
    <t>4641…</t>
  </si>
  <si>
    <t>Kamat kondíciók</t>
  </si>
  <si>
    <t xml:space="preserve">   Közösségi Ház működésére Csurgói Sportcsarnok Kft.-nek működésre átadás</t>
  </si>
  <si>
    <t>CKÖ működésére központosított támogatás</t>
  </si>
  <si>
    <t>SM önk-tól foglalkoztatásra tám</t>
  </si>
  <si>
    <t xml:space="preserve">   Csurgói Városgazdálkodási Kft.-nek működésre átadott pénz</t>
  </si>
  <si>
    <t>(munkáltatói döntés teljesítményértékelés alapján)
február végéig: 609.900 Ft, utána keret: 2.880.000 Ft, címzetes főjegyző címpótlék. 38.650 Ft X24 X 0,20 = 185.520 Ft)</t>
  </si>
  <si>
    <t>Tűzoltóság hitel kezességvállalás (-)</t>
  </si>
  <si>
    <t>Pü-i vállalkozástól felvett forráskiegészítő hitel</t>
  </si>
  <si>
    <t>Igazgatási Szolgáltatás - Okmányiroda, egyéb</t>
  </si>
  <si>
    <t>Igazgatási szolgáltatás (Okmányiroda, egyéb)</t>
  </si>
  <si>
    <t>1. Önállóan működő költségvetési szervek</t>
  </si>
  <si>
    <t>a) Csurgó TV működtetése</t>
  </si>
  <si>
    <t>Főkönyv</t>
  </si>
  <si>
    <t>Szakfeladat</t>
  </si>
  <si>
    <t>kód</t>
  </si>
  <si>
    <t>1. Tárgyi eszközök, immateriális javak értékesítése</t>
  </si>
  <si>
    <t>Meller kastély értékesítése</t>
  </si>
  <si>
    <t>Budapest bank értékesítése</t>
  </si>
  <si>
    <t>Önkormányzati lakások értékesítése</t>
  </si>
  <si>
    <t>Lőtér értékesítése</t>
  </si>
  <si>
    <t>Eredeti e.i</t>
  </si>
  <si>
    <t>Mód. E.i</t>
  </si>
  <si>
    <t>Mód. ei</t>
  </si>
  <si>
    <t>Arany János utcai gyalogátkelőhely tervezése</t>
  </si>
  <si>
    <t>Arany János utcai gyalogjárda tervezése</t>
  </si>
  <si>
    <t>Bolgár sírok exhumálása</t>
  </si>
  <si>
    <t>Módosított előirányzat</t>
  </si>
  <si>
    <t>Mód.előirányzat</t>
  </si>
  <si>
    <t>Városi Szociális Intézmény</t>
  </si>
  <si>
    <t>Kátyúzás</t>
  </si>
  <si>
    <t>Bérkompenzációra átvett pénz</t>
  </si>
  <si>
    <t>5. Önkormányzat központosított támogatása</t>
  </si>
  <si>
    <t>6. Önhiki bevétel</t>
  </si>
  <si>
    <t>7. Bérkompenzációra átvett</t>
  </si>
  <si>
    <t xml:space="preserve"> 3. Városi Eü. és Szoc. Int.</t>
  </si>
  <si>
    <t>Önkormányzati feladatok támogatása</t>
  </si>
  <si>
    <t>8. Önkormányzati feladatok támogatása</t>
  </si>
  <si>
    <t>..../2013. (…...)  rendelet</t>
  </si>
  <si>
    <t>..../2013. (…...) rendelet</t>
  </si>
  <si>
    <t>…/2013. (…..)rendelet</t>
  </si>
  <si>
    <t>…/2013. (…..) rendelet</t>
  </si>
  <si>
    <t>Bérkompenzációra járó tám.</t>
  </si>
  <si>
    <t>Beuházási kiadások</t>
  </si>
  <si>
    <t>Felhalmozási kiadások</t>
  </si>
  <si>
    <t>Működési kiadások:</t>
  </si>
  <si>
    <t>KIADÁSOK MINDÖSSZESEN</t>
  </si>
  <si>
    <t>Egyéb központi támogatás</t>
  </si>
  <si>
    <t>9. Egyéb központi támogatás</t>
  </si>
  <si>
    <t>%</t>
  </si>
  <si>
    <t>Telj.</t>
  </si>
  <si>
    <t>Önkormányzati Igazgatás</t>
  </si>
  <si>
    <t>Köztemető fenntartás</t>
  </si>
  <si>
    <t>Fürdő és strandszolgáltatás</t>
  </si>
  <si>
    <t>Csurgó Kistérségi Többcélú Társulásnak Sportalapra</t>
  </si>
  <si>
    <t>Vidékünk a Jövőnknek támogatás</t>
  </si>
  <si>
    <t>Rinya-Dombómenti Társulás</t>
  </si>
  <si>
    <t>Pannon Társulás</t>
  </si>
  <si>
    <t>2012. évi előirányzatainak teljesítése</t>
  </si>
  <si>
    <t>Csurgó Város Önkormányzata által folyósított ellátások 2012. évi előirányzatainak teljesítése</t>
  </si>
  <si>
    <t>Pénzbeli támogatás</t>
  </si>
  <si>
    <t>CNÖ működésére támogatás</t>
  </si>
  <si>
    <t>PPP-re átvett</t>
  </si>
  <si>
    <t>Rendőrség támogatása</t>
  </si>
  <si>
    <t>KÜLÖNFÉLE ELSZÁMOLÁSOK ÖSSZESEN:</t>
  </si>
  <si>
    <t>ezer Ft-ban</t>
  </si>
  <si>
    <t>Eredeti előirányzat</t>
  </si>
  <si>
    <t>(adatok eFt-ban)</t>
  </si>
  <si>
    <t>DOLOGI KIADÁSOK ÖSSZESEN:</t>
  </si>
  <si>
    <t>MŰKÖDÉSI KIADÁSOK</t>
  </si>
  <si>
    <t>MŰKÖDÉSI BEVÉTELEK</t>
  </si>
  <si>
    <t>MŰKÖDÉSI KIADÁSOK MINDÖSSZESEN:</t>
  </si>
  <si>
    <t>MŰKÖDÉSI BEVÉTELEK MINDÖSSZESEN:</t>
  </si>
  <si>
    <t>FEJLESZTÉSI KIADÁSOK</t>
  </si>
  <si>
    <t>FEJLESZTÉSI BEVÉTELEK</t>
  </si>
  <si>
    <t>Civil szervezetek támogatása</t>
  </si>
  <si>
    <t>Köztemetés</t>
  </si>
  <si>
    <t>CKÖ közmunka bére</t>
  </si>
  <si>
    <t>Működési bevételek összesen</t>
  </si>
  <si>
    <t>Központosított támogatás CKÖ működésére</t>
  </si>
  <si>
    <t>További munkaviszonyt létesítők juttatásai</t>
  </si>
  <si>
    <t>Állományba nem tartozók egyéb juttatásai</t>
  </si>
  <si>
    <t>MUNKAADÓT TERHELŐ JÁRULÉKOK ÖSSZESEN:</t>
  </si>
  <si>
    <t xml:space="preserve">Irodaszer nyomtatvány </t>
  </si>
  <si>
    <t>54 Készletbeszerzések</t>
  </si>
  <si>
    <t xml:space="preserve">Szakmai anyag, kisért. t. eszk., szellemi termék </t>
  </si>
  <si>
    <t>Egyéb készlet</t>
  </si>
  <si>
    <t>55 Szolgáltatások</t>
  </si>
  <si>
    <t>Nem adatátviteli célú távközlési díjak</t>
  </si>
  <si>
    <t>Egyéb kommunikáció szolg.</t>
  </si>
  <si>
    <t>Gázenergia-szolgáltatás díjak</t>
  </si>
  <si>
    <t>Villamosenergia-szolgáltatás díjak</t>
  </si>
  <si>
    <t>Víz- és csatorna díjak</t>
  </si>
  <si>
    <t>Karbantartási, kisjavítási szolgáltatások</t>
  </si>
  <si>
    <t>56 Különféle dologi kiadások</t>
  </si>
  <si>
    <t>Vásárolt term. és szolg. Áfá-ja</t>
  </si>
  <si>
    <t>Belföldi kiküldetés</t>
  </si>
  <si>
    <t>Reprezentáció</t>
  </si>
  <si>
    <t>összesen</t>
  </si>
  <si>
    <t>nyelvpótlék</t>
  </si>
  <si>
    <t>Jubileumi jutalom</t>
  </si>
  <si>
    <t>Végkielégítés</t>
  </si>
  <si>
    <t>Csima Edit</t>
  </si>
  <si>
    <t>Lőczi János</t>
  </si>
  <si>
    <t>CSKTT-től munkaszervezetre átvett</t>
  </si>
  <si>
    <t>CSKTT-től irodafenntartásra átvett</t>
  </si>
  <si>
    <t>Közlekedési támogatás (mozgáskorlátozottak)</t>
  </si>
  <si>
    <t>ÖNKORMÁNYZATOK SAJÁTOS MŰKÖDÉSI BEVÉTELEI</t>
  </si>
  <si>
    <t>Egyéb sajátos folyó bevételek</t>
  </si>
  <si>
    <t>Létszám</t>
  </si>
  <si>
    <t>M.adót terh jár.</t>
  </si>
  <si>
    <t>(eredeti ei.)</t>
  </si>
  <si>
    <t>Ellátottak p. jutt.</t>
  </si>
  <si>
    <t>Városi Uszoda működtetésére</t>
  </si>
  <si>
    <t>(egyéb)</t>
  </si>
  <si>
    <t>Reklám, propaganda</t>
  </si>
  <si>
    <t>Bejáró tanulókra átvett</t>
  </si>
  <si>
    <t>Körjegyzőségre átvett</t>
  </si>
  <si>
    <t>Tartalék</t>
  </si>
  <si>
    <t xml:space="preserve"> -  Réti József Művészetokt.Int.</t>
  </si>
  <si>
    <t xml:space="preserve">  - Réti József Művészetokt.Int.</t>
  </si>
  <si>
    <t>Egyéb üzemeltetési, fenntartási szolgáltatások</t>
  </si>
  <si>
    <t>Intézmény neve</t>
  </si>
  <si>
    <t>Dologi kiad.</t>
  </si>
  <si>
    <t>Személyi juttat.</t>
  </si>
  <si>
    <t>Int. működési bev</t>
  </si>
  <si>
    <t>Kiadások összesen</t>
  </si>
  <si>
    <t>Bevételek összesen</t>
  </si>
  <si>
    <t>Megnevezés</t>
  </si>
  <si>
    <t>Összesen</t>
  </si>
  <si>
    <t>a)</t>
  </si>
  <si>
    <t>b)</t>
  </si>
  <si>
    <t>2023.</t>
  </si>
  <si>
    <t>2013.</t>
  </si>
  <si>
    <t>MFB hitel játszótérre</t>
  </si>
  <si>
    <t>Fejlesztési hitelek kiváltására felvett hitel</t>
  </si>
  <si>
    <t>2022.</t>
  </si>
  <si>
    <t>Volt Napsugár Szöv. Ingatlanának megvásárlására</t>
  </si>
  <si>
    <t>Többcélú Társulástól tám.ért.bevételek</t>
  </si>
  <si>
    <t>5.</t>
  </si>
  <si>
    <t>6.</t>
  </si>
  <si>
    <t>7.</t>
  </si>
  <si>
    <t>8.</t>
  </si>
  <si>
    <t>9.</t>
  </si>
  <si>
    <t>10.</t>
  </si>
  <si>
    <t>c)</t>
  </si>
  <si>
    <t>Szociális étkeztetés</t>
  </si>
  <si>
    <t>d)</t>
  </si>
  <si>
    <t>e)</t>
  </si>
  <si>
    <t>f)</t>
  </si>
  <si>
    <t>g)</t>
  </si>
  <si>
    <t>h)</t>
  </si>
  <si>
    <t>i)</t>
  </si>
  <si>
    <t>j)</t>
  </si>
  <si>
    <t>Horváth Anna</t>
  </si>
  <si>
    <t>4.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</si>
  <si>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</si>
  <si>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</si>
  <si>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</si>
  <si>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</si>
  <si>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</si>
  <si>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</si>
  <si>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</si>
  <si>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</si>
  <si>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</si>
  <si>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Köztisztviselők napidíja</t>
  </si>
  <si>
    <t>Köztisztviselők közlekedési költségtér.</t>
  </si>
  <si>
    <t>SZEMÉLYI JUTTATÁSOK ÖSSZESEN</t>
  </si>
  <si>
    <t>Irodaszer, nyomtatvány</t>
  </si>
  <si>
    <t>Könyvbeszerzés</t>
  </si>
  <si>
    <t>Kisértékű tárgyi eszköz beszerzése</t>
  </si>
  <si>
    <t>Távközlési díjak</t>
  </si>
  <si>
    <t>Egyéb üzemeltetési, fennt., szolg.</t>
  </si>
  <si>
    <t>Vás.term.szolg.áfája</t>
  </si>
  <si>
    <t>DOLOGI KIADÁSOK ÖSSZESEN</t>
  </si>
  <si>
    <t>MŰKÖDÉSI KIADÁSOK ÖSSZESEN</t>
  </si>
  <si>
    <t>Kovács Tamásné dr.</t>
  </si>
  <si>
    <t>ÖSSZESEN:</t>
  </si>
  <si>
    <t>1. Városi Iskolák és Óvodák</t>
  </si>
  <si>
    <t xml:space="preserve">   Általános iskolák összesen</t>
  </si>
  <si>
    <t xml:space="preserve">  - Eötvös József Általános Isk.</t>
  </si>
  <si>
    <t>2011. dec</t>
  </si>
  <si>
    <t>2012. jan</t>
  </si>
  <si>
    <t>2012. febr</t>
  </si>
  <si>
    <t>2012. márc</t>
  </si>
  <si>
    <t>2012. ápr</t>
  </si>
  <si>
    <t>2012. máj</t>
  </si>
  <si>
    <t>2012. jún</t>
  </si>
  <si>
    <t>2012. júl</t>
  </si>
  <si>
    <t>2012. aug</t>
  </si>
  <si>
    <t>2012. szept</t>
  </si>
  <si>
    <t>2012. okt</t>
  </si>
  <si>
    <t>2012. nov</t>
  </si>
  <si>
    <t>soros: 2012.04.04. 1_06</t>
  </si>
  <si>
    <t>soros: 2012.04.20. 1_06</t>
  </si>
  <si>
    <t>soros: 2012. 08.05 2_13</t>
  </si>
  <si>
    <t>soros: 2012.07.01. 2_13</t>
  </si>
  <si>
    <t>Gombor Brigitta</t>
  </si>
  <si>
    <t>soros: 2012.03.16. 1_03</t>
  </si>
  <si>
    <t>soros: 2012.07.15. 2_16</t>
  </si>
  <si>
    <t>Ilia-Sikesdi Veronika</t>
  </si>
  <si>
    <t>soros: 2012.11.04. 1_07</t>
  </si>
  <si>
    <t>Madarász Jánosné</t>
  </si>
  <si>
    <t>soros: 2012.12.06 1_11</t>
  </si>
  <si>
    <t>soros: 2012.08.07. 2_10</t>
  </si>
  <si>
    <t>Csenei Áron</t>
  </si>
  <si>
    <t>Vargáné P Mónika</t>
  </si>
  <si>
    <t xml:space="preserve">  - II. Rákóczi F. Általános Isk.</t>
  </si>
  <si>
    <t xml:space="preserve"> - Gyékényesi Általános Iskola</t>
  </si>
  <si>
    <t xml:space="preserve">  - Városi Óvodák</t>
  </si>
  <si>
    <t xml:space="preserve"> -  Eötvös József Általános Isk.</t>
  </si>
  <si>
    <t xml:space="preserve"> -  II. Rákóczi F. Általános Isk.</t>
  </si>
  <si>
    <t xml:space="preserve"> -  Városi Óvodák</t>
  </si>
  <si>
    <t>Időskorúak járadéka (90 %-os)</t>
  </si>
  <si>
    <t>Lakásfenntartási támogatás (normatív) (90 %-os)</t>
  </si>
  <si>
    <t>(szociális étkezési díj támogatás /öregek/)</t>
  </si>
  <si>
    <t>Szociális étkeztezés</t>
  </si>
  <si>
    <t>Rendszeres gyv. támogatás (90%-os)</t>
  </si>
  <si>
    <t>Rendszeres szoc. segély (90%-os)</t>
  </si>
  <si>
    <t>Lakásfenntartási támogatás (méltányos)</t>
  </si>
  <si>
    <t>Közlekedési támogatás (100 %-os)</t>
  </si>
  <si>
    <t>Helyi bérletek</t>
  </si>
  <si>
    <t>Rendkívüli gyv támogatás</t>
  </si>
  <si>
    <t>MŰKÖDÉSI CÉLÚ HITELFELVÉTEL ÖSSZESEN:</t>
  </si>
  <si>
    <t>MŰKÖDÉSI CÉLÚ HITEL- ÉS KAMATTÖRLESZTÉS</t>
  </si>
  <si>
    <t>MŰK. CÉLÚ HITEL- ÉS KAMATTÖRLESZTÉS ÖSSZESEN:</t>
  </si>
  <si>
    <t>Építményadó</t>
  </si>
  <si>
    <t>Magánszemélyek kommunális adója</t>
  </si>
  <si>
    <t>Ft</t>
  </si>
  <si>
    <t>SZJA jöv. különbség mérséklésére</t>
  </si>
  <si>
    <t>Talajterhelési díj</t>
  </si>
  <si>
    <t>Önk sajátos működési bev</t>
  </si>
  <si>
    <t>Működési célú pénzeszk átvétel</t>
  </si>
  <si>
    <t>Műk. célú hitelfelv.</t>
  </si>
  <si>
    <t>(mód. ei.)</t>
  </si>
  <si>
    <t>CSKTT irodafenntartásra átvett</t>
  </si>
  <si>
    <t>CSKTT munkaszervezetre átvétel</t>
  </si>
  <si>
    <t>CSKTT-től köt feladatokra átvett normatíva</t>
  </si>
  <si>
    <t>Mozgáskorlátozottak közl. támogatás</t>
  </si>
  <si>
    <t>Működési célú hitel</t>
  </si>
  <si>
    <t>Helyi adók</t>
  </si>
  <si>
    <t>SZJA bevételek</t>
  </si>
  <si>
    <t>Tűzoltó köztestület támogatására</t>
  </si>
  <si>
    <t>Lakás- és helységbérlet</t>
  </si>
  <si>
    <t>Mozgó Könyvtár</t>
  </si>
  <si>
    <t>050</t>
  </si>
  <si>
    <t>Háziorvosi Szolgálat</t>
  </si>
  <si>
    <t>051</t>
  </si>
  <si>
    <t>Sürgősségi Ügyelet</t>
  </si>
  <si>
    <t>052</t>
  </si>
  <si>
    <t>Gyermekorvos</t>
  </si>
  <si>
    <t>053</t>
  </si>
  <si>
    <t>Belgyógyászat</t>
  </si>
  <si>
    <t>054</t>
  </si>
  <si>
    <t>Laboratóriumi szakrendelés</t>
  </si>
  <si>
    <t>055</t>
  </si>
  <si>
    <t>Működési célú pe átad</t>
  </si>
  <si>
    <t>mód.</t>
  </si>
  <si>
    <t>Kötelező feladatok:</t>
  </si>
  <si>
    <t>Építéshatóság</t>
  </si>
  <si>
    <t>Képviselőtestület kiadásai</t>
  </si>
  <si>
    <t>CSKTT munkaszervezete</t>
  </si>
  <si>
    <t>Finanszírozási műveletek</t>
  </si>
  <si>
    <t>Polgári Védelem</t>
  </si>
  <si>
    <t>Városgazdálkodás</t>
  </si>
  <si>
    <t>Települési vízellátás</t>
  </si>
  <si>
    <t>Közvilágítás</t>
  </si>
  <si>
    <t>Egyéb elsz. (támogatások)</t>
  </si>
  <si>
    <t>Rendszeres segélyek</t>
  </si>
  <si>
    <t>Eseti segélyek</t>
  </si>
  <si>
    <t>Közcélú foglalkoztatás</t>
  </si>
  <si>
    <t>Működési célú átadott pénzeszköz</t>
  </si>
  <si>
    <t xml:space="preserve">    Csurgói általános Iskolák össz.</t>
  </si>
  <si>
    <t>2. Városi Könyvtár - Múzeum</t>
  </si>
  <si>
    <t>Eredeti ei.</t>
  </si>
  <si>
    <t>Mód. ei.</t>
  </si>
  <si>
    <t>Rendszeres pénzbeli ellátások</t>
  </si>
  <si>
    <t>Rendszeres szociális segély (90%)</t>
  </si>
  <si>
    <t>Időskorúak járadéka (90%)</t>
  </si>
  <si>
    <t>Rendszeres gyermekvédelmi támogatás (90%)</t>
  </si>
  <si>
    <t>Lakásfenntartási támogatás (90%)</t>
  </si>
  <si>
    <t>Ápolási díj - méltányosságból</t>
  </si>
  <si>
    <t>Szociális étkeztetés támogatása</t>
  </si>
  <si>
    <t>Rendszeres pénzeli ellátások összesen:</t>
  </si>
  <si>
    <t>Munkaadót terhelő járulékok</t>
  </si>
  <si>
    <t>Eseti pénzbeli ellátások</t>
  </si>
  <si>
    <t>Rendkívüli gyermekvédelmi támogatás</t>
  </si>
  <si>
    <t>Közlekedési támogatás (100%)</t>
  </si>
  <si>
    <t>Eseti pénzbeli ellátások összesen:</t>
  </si>
  <si>
    <t>Önkorm által folyósított ellátások mindösszesen:</t>
  </si>
  <si>
    <t>Csurgó Város Önkormányzata speciális célú támogatások</t>
  </si>
  <si>
    <t>Csurgó Kistérségi Többcélú Társulási tagdíj (65 Ft/lakos)</t>
  </si>
  <si>
    <t>Csurgó Kistérségi Többcélú Társulásnak központi ügyeletre</t>
  </si>
  <si>
    <t>Önkéntes tűzoltó köztestület támogatása</t>
  </si>
  <si>
    <t>Működési célú támogatásértékű kiadások összesen</t>
  </si>
  <si>
    <t>Működési célú pénzeszköátadás államháztartáson kívülre összesen</t>
  </si>
  <si>
    <t>Támogatások mindösszesen:</t>
  </si>
  <si>
    <t>e Ft-ban</t>
  </si>
  <si>
    <t>I.Felhalmozási és tőke jellegű bevételek (áfával) összesen</t>
  </si>
  <si>
    <t xml:space="preserve">   1. Tárgyi eszközök, immateriális javak értékesítése</t>
  </si>
  <si>
    <t xml:space="preserve">      a) Meller kastély értékesítése</t>
  </si>
  <si>
    <t xml:space="preserve">   2. Önkormányzatok sajátos felhalmozási és tőkebevételei</t>
  </si>
  <si>
    <t xml:space="preserve">      a) Kamatmentes építési kölcsönök törlesztése</t>
  </si>
  <si>
    <t>II. Felhalmozási célú támogatásértékű bevételek</t>
  </si>
  <si>
    <t>Felhalmozási bevételek összesen</t>
  </si>
  <si>
    <t>Saját forrás</t>
  </si>
  <si>
    <t>Bekerülési költség</t>
  </si>
  <si>
    <t>I. Áthúzódó felújítások</t>
  </si>
  <si>
    <t>II. Új felújítások</t>
  </si>
  <si>
    <t>4. Immateriális javak</t>
  </si>
  <si>
    <t>tőke</t>
  </si>
  <si>
    <t>kamat</t>
  </si>
  <si>
    <t xml:space="preserve"> 1. Volt Napsugár Szöv.ingatlanvásárlására felvett hitel (36.000 e Ft) kamata</t>
  </si>
  <si>
    <t xml:space="preserve"> 2. Korábbi hitelek kiváltására felvett hitel (77.478 e Ft) kamata</t>
  </si>
  <si>
    <t xml:space="preserve"> 3. Szociális bérlakásépítésre felvett hitel törlesztése kamattal</t>
  </si>
  <si>
    <t xml:space="preserve">     a) Eötvös Iskola, Közösségi Ház fűtéskorszerűsíés lízingdíja</t>
  </si>
  <si>
    <t>VIII. Sportcsarnok fenntartói szolgáltatási díj</t>
  </si>
  <si>
    <t xml:space="preserve">     a) Sportcsarnok fenntartói szolgáltatási díj</t>
  </si>
  <si>
    <t>X. Fejlesztési célú tartalék</t>
  </si>
  <si>
    <t>Felhalmozási kiadások összesen</t>
  </si>
  <si>
    <t>Csurgó Város Önkormányzata</t>
  </si>
  <si>
    <t>TEKI, LEKI, CEDE (2009.) önerejére MFB hitel tőke törlesztése (Virág u., Csokonai u., Dózsa u., Eötvös Iskola járdaburkola)</t>
  </si>
  <si>
    <t>Eötvös Iskola világításkorszerűsítésre</t>
  </si>
  <si>
    <t>3 havi EURIBOR és 2,7%; 8,7%</t>
  </si>
  <si>
    <t>3 havi EURIBOR és 2,5%; 8,7%</t>
  </si>
  <si>
    <t>3 havi EURIBOR és 3,5%; 9,5%</t>
  </si>
  <si>
    <t>Működési likviditási, kisösszegű felújításra</t>
  </si>
  <si>
    <t>Működési likviditási, kisösszegű felújításra (kamat)</t>
  </si>
  <si>
    <t>3 havi BUBOR+3,5</t>
  </si>
  <si>
    <t xml:space="preserve">Áht.-n kívűlről működésre átvett pénzeszközök </t>
  </si>
  <si>
    <t>Önkrományzat</t>
  </si>
  <si>
    <t>Személyi jellegű juttatások és járulékok mindösszesen</t>
  </si>
  <si>
    <t>DOLOGI   KIADÁSOK</t>
  </si>
  <si>
    <t>Élelmiszer (saját konyha!)</t>
  </si>
  <si>
    <t>Folyóiratbeszerzés</t>
  </si>
  <si>
    <t>Tűzelőanyagok</t>
  </si>
  <si>
    <t>Hajtó- és kenőanyagok</t>
  </si>
  <si>
    <t>Szakmai anyag beszerzése</t>
  </si>
  <si>
    <t>Kisértékű tárgyi eszköz. szellemi term.besz.</t>
  </si>
  <si>
    <t>KÉSZLETBESZERZÉS ÖSSZESEN</t>
  </si>
  <si>
    <t xml:space="preserve">Egyéb kommunikációs szolgáltatások </t>
  </si>
  <si>
    <t>KOMMUNIKÁCIÓS SZOLGÁLTATÁSOK ÖSSZ.</t>
  </si>
  <si>
    <t>Gázdij</t>
  </si>
  <si>
    <t>Villamosenergia dij</t>
  </si>
  <si>
    <t>Távhő- és melegvíz-szolgáltatás díja</t>
  </si>
  <si>
    <t>Víz-csatornadij</t>
  </si>
  <si>
    <t>Karbantartás, kisjavítás (idegen kivitelezés!)</t>
  </si>
  <si>
    <t>Egyéb üzemeltetési, fennt. szolgáltatás</t>
  </si>
  <si>
    <t>SZOLGÁLTATÁSI KIADÁSOK</t>
  </si>
  <si>
    <t>Vásárolt közszolgáltatás (Munkavéd.társ.díj.)</t>
  </si>
  <si>
    <t>Általános forgalmi adó</t>
  </si>
  <si>
    <t>Kiszámlázott term. és szolg. áfa befizetése</t>
  </si>
  <si>
    <t xml:space="preserve">Egyéb különféle dologi kiadások </t>
  </si>
  <si>
    <t>Számlázott szellemi tevékenység (S.Katalin)</t>
  </si>
  <si>
    <t>Üzemorvosi vizsgálat</t>
  </si>
  <si>
    <t>Különféle dologi kiadások</t>
  </si>
  <si>
    <t xml:space="preserve">Egyéb f.befizetési kötelezettség </t>
  </si>
  <si>
    <t>Munkáltató által fizetett szja</t>
  </si>
  <si>
    <t>Különféle adók, díjak, befizetések (rehabilitációs h.j)</t>
  </si>
  <si>
    <t>Egyéb folyó kiadások</t>
  </si>
  <si>
    <t>DOLOGI ÖSSZESEN</t>
  </si>
  <si>
    <t>ELLÁTOTTAK PÉNZBENI JUTTATÁSAI</t>
  </si>
  <si>
    <t>Csurgó Város bevételeinek és kiadásainak 2012. évi teljesítése</t>
  </si>
  <si>
    <t>Csurgó Város Önkormányzatának és Polgármesteri Hivatalának igazgatási és szakfeladatos működési kiadásai teljesítése 2012. évben</t>
  </si>
  <si>
    <t>Rövid lej-ú adott kölcsönök összesen</t>
  </si>
  <si>
    <t>Követelés mindössz.</t>
  </si>
  <si>
    <t>Pénztár</t>
  </si>
  <si>
    <t>Kv. Bankszámlák</t>
  </si>
  <si>
    <t>Idegen pénzeszközök</t>
  </si>
  <si>
    <t>Pénzeszközök összesen</t>
  </si>
  <si>
    <t>Költségvetései aktív függő elszámolások</t>
  </si>
  <si>
    <t>Költségvetési aktív átfutó elszámolások</t>
  </si>
  <si>
    <t>Egyéb aktív  pénzügyi elszámolások összesen</t>
  </si>
  <si>
    <t>Forgóeszközök összesen</t>
  </si>
  <si>
    <t>Eszközök mindösszesen</t>
  </si>
  <si>
    <t>Induló tőke</t>
  </si>
  <si>
    <t>Tőke- változás</t>
  </si>
  <si>
    <t>Saját tőke összesen</t>
  </si>
  <si>
    <t>Kvi. tartalék</t>
  </si>
  <si>
    <t>Beruházási és fejlesztési hitelek</t>
  </si>
  <si>
    <t>Működési célú hitelek</t>
  </si>
  <si>
    <t>Hosszú lejáratú kötelezettségek összesen</t>
  </si>
  <si>
    <t>Rövid lejáratú működési célú hitel</t>
  </si>
  <si>
    <t>Működési célú likvid hitel</t>
  </si>
  <si>
    <t>Szállítók</t>
  </si>
  <si>
    <t>Helyi adó túlfiz.</t>
  </si>
  <si>
    <t>Beruházási és fejlesztési hitelek köv. évi törl.</t>
  </si>
  <si>
    <t>Működési célú hitelek köv.évi törl.</t>
  </si>
  <si>
    <t>Egyéb rövid lejátú köt. összesen</t>
  </si>
  <si>
    <t>Rövid lejáratú kötelezetts. összesen</t>
  </si>
  <si>
    <t>Passzív átfutó elszámolások</t>
  </si>
  <si>
    <t>Passzív kiegyenlítő elszámolások</t>
  </si>
  <si>
    <t>Költségvetésen kivüli passzív püi. elszámolások</t>
  </si>
  <si>
    <t>Passzív püi. elszámolások összesen</t>
  </si>
  <si>
    <t>Kötelezettség összesen</t>
  </si>
  <si>
    <t>Források mindösszesen</t>
  </si>
  <si>
    <t xml:space="preserve">…………../2013.(……………..) rendelethez   </t>
  </si>
  <si>
    <t>Csurgó Város Önkormányzatának hitelállománya 2012. december 31-én</t>
  </si>
  <si>
    <t>Hitel fajtája</t>
  </si>
  <si>
    <t>Visszafiz. esedékessége</t>
  </si>
  <si>
    <t>Folyósított          összeg</t>
  </si>
  <si>
    <t>Fennálló hitelállomány</t>
  </si>
  <si>
    <t>Ebből</t>
  </si>
  <si>
    <t>2012. évben esedékes törl.</t>
  </si>
  <si>
    <t>Éven túli hitelállomány</t>
  </si>
  <si>
    <t>Szoc. bérlakásép.-re felvett hitel</t>
  </si>
  <si>
    <t>2004-2023</t>
  </si>
  <si>
    <t>MFB- Utak felújítására</t>
  </si>
  <si>
    <t>2007-2013</t>
  </si>
  <si>
    <t>MFB- Mesevár óvoda- Eötvös Isk.</t>
  </si>
  <si>
    <t>Napsugár ingatlan megvásárlására</t>
  </si>
  <si>
    <t>2010-2027</t>
  </si>
  <si>
    <t>Fejlesztési hitelek kiváltására</t>
  </si>
  <si>
    <t>2010-2022</t>
  </si>
  <si>
    <t>Saját erő finanszorozására (Köz.ház, Könyvtár, Pm. Hiv., és utak feljújításához)</t>
  </si>
  <si>
    <t>Eötvös Iskola világításkorszerűsitésre, településrend.terv önerőre</t>
  </si>
  <si>
    <t>2011-2017</t>
  </si>
  <si>
    <t xml:space="preserve">MFB körforgalom </t>
  </si>
  <si>
    <t>2011-2016</t>
  </si>
  <si>
    <t>Polifin kölcsön</t>
  </si>
  <si>
    <t>Sankoló-tó</t>
  </si>
  <si>
    <t>2010-2017</t>
  </si>
  <si>
    <t>Hosszú lejáratú fejlesztési célú hitelek összesen:</t>
  </si>
  <si>
    <t>Műk. likviditás, kis összegű felújításra</t>
  </si>
  <si>
    <t>2011-2015</t>
  </si>
  <si>
    <t>Hosszú lejáratú működési célú hitelek összesen:</t>
  </si>
  <si>
    <t>140 mill. Hitel</t>
  </si>
  <si>
    <t>Működési célú likvid hitelek összesen:</t>
  </si>
  <si>
    <t>Hitelek mindösszesen</t>
  </si>
  <si>
    <t>Jézus Szíve Katolikus Plébánia felújítás (Városrehabilitáció konzorciós partner) áfa</t>
  </si>
  <si>
    <t>Horvát-magyar IPA pályázat áfa</t>
  </si>
  <si>
    <t>Víziközmű felújítás (használati díjból)</t>
  </si>
  <si>
    <t>FELÚJÍTÁSOK ÖSSZESEN</t>
  </si>
  <si>
    <t>II. Áthúzódó beruházások</t>
  </si>
  <si>
    <t>Széchenyi tér körforgalom építés</t>
  </si>
  <si>
    <t>Széchenyi tér körforgalom építés áfa</t>
  </si>
  <si>
    <t>III. Új beruházások</t>
  </si>
  <si>
    <t>1. Építési beruházások</t>
  </si>
  <si>
    <t xml:space="preserve">       -ebből intézményeknek átadott</t>
  </si>
  <si>
    <t>ÖNHIKI bevétel</t>
  </si>
  <si>
    <t>6. Önhiki</t>
  </si>
  <si>
    <t>Eredeti előirányzat (2012. évi terv adatok)</t>
  </si>
  <si>
    <t>Önkormányzati lakások (Rákóczi 110.) értékesítése</t>
  </si>
  <si>
    <t xml:space="preserve">  Fejlesztési céltartalék</t>
  </si>
  <si>
    <t xml:space="preserve">   Általános tartalék</t>
  </si>
  <si>
    <t xml:space="preserve">   Céltartalék</t>
  </si>
  <si>
    <t>Mesevár Óvoda felújítása, Eötvös Iskola tető, konyha, jármű</t>
  </si>
  <si>
    <t>2012.</t>
  </si>
  <si>
    <t>2014.</t>
  </si>
  <si>
    <t>2015.</t>
  </si>
  <si>
    <t>2016.</t>
  </si>
  <si>
    <t>Pályázati tám.egyéb átv.</t>
  </si>
  <si>
    <t>ezer Ft</t>
  </si>
  <si>
    <t>Ft/tanuló</t>
  </si>
  <si>
    <t>Norm.állami hj. - 3.sz.mell.8.sz.mell.alapján</t>
  </si>
  <si>
    <t>Áttanítások különbözete (bér és jár.)</t>
  </si>
  <si>
    <t>Fizetendő összesen</t>
  </si>
  <si>
    <t>Fizetendő havi előleg</t>
  </si>
  <si>
    <t xml:space="preserve">1 bejáróra fizetendő 100 % (K.T.hat.), Ft </t>
  </si>
  <si>
    <t>Normatív támogatás (3. sz.mell.bejáró nélk.)</t>
  </si>
  <si>
    <t>Normatív támogatás (8. sz.mell.)</t>
  </si>
  <si>
    <t>- Somogyudvarhelyi Általános Iskola</t>
  </si>
  <si>
    <t>Helyi adók összesen</t>
  </si>
  <si>
    <t>Általános tartalék- működés</t>
  </si>
  <si>
    <t>Általános tartalék- fejlesztés</t>
  </si>
  <si>
    <t xml:space="preserve">Működési céltartalék </t>
  </si>
  <si>
    <t>Hiány (bevételek és kiadások különbözete)</t>
  </si>
  <si>
    <t>jubileum 30 éves 2012.08.01</t>
  </si>
  <si>
    <t>jubileum 40 éves 2012.07.25</t>
  </si>
  <si>
    <t>jubileum 40 éves 2012.03.03</t>
  </si>
  <si>
    <t>soros: 2012.11.20 2_16 jubileum 30 éves</t>
  </si>
  <si>
    <t>soros: 2012.04.18. 2_17; jubileum(35) 2012.04.02</t>
  </si>
  <si>
    <t>Sorszám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</si>
  <si>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</si>
  <si>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</si>
  <si>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</si>
  <si>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</si>
  <si>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</si>
  <si>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</si>
  <si>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</si>
  <si>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</si>
  <si>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</si>
  <si>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</si>
  <si>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</si>
  <si>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</si>
  <si>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</si>
  <si>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</si>
  <si>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</si>
  <si>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</si>
  <si>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</si>
  <si>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</si>
  <si>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</si>
  <si>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</si>
  <si>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</si>
  <si>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</si>
  <si>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</si>
  <si>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</si>
  <si>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</si>
  <si>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</si>
  <si>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</si>
  <si>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</si>
  <si>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</si>
  <si>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</si>
  <si>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</si>
  <si>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Kissné Szőke Lili- Fábián Anita</t>
  </si>
  <si>
    <t>Kovács Andrásné - Tóth Judit</t>
  </si>
  <si>
    <t xml:space="preserve">Önkormányzati igazgatás bér </t>
  </si>
  <si>
    <t xml:space="preserve">Önkormányzati igazgatás járulékok </t>
  </si>
  <si>
    <t>Önkormányzati igazgatás dologi</t>
  </si>
  <si>
    <t>Kiadás összesen</t>
  </si>
  <si>
    <t>Körjegyzőség normatív támogatása</t>
  </si>
  <si>
    <t>Lakosság,fő</t>
  </si>
  <si>
    <t>Felosztandó költségek</t>
  </si>
  <si>
    <t>Csurgó</t>
  </si>
  <si>
    <t>Csurgónagymarton</t>
  </si>
  <si>
    <t>Somogycsicsó</t>
  </si>
  <si>
    <t>Szenta</t>
  </si>
  <si>
    <t>Előző évi hátralék, ezer Ft</t>
  </si>
  <si>
    <t>Prémium program támogatása</t>
  </si>
  <si>
    <t>Gyékényes</t>
  </si>
  <si>
    <t>Opten jogtár 89858 Ft/év+27 %</t>
  </si>
  <si>
    <t>Wingo 52800Ft/év+27 %</t>
  </si>
  <si>
    <t>Cégtár 48720 Ft/év+27%</t>
  </si>
  <si>
    <t xml:space="preserve">Jegyző és közigazgatás kb.11000 Ft/év+5% </t>
  </si>
  <si>
    <t>Somogyi Hírlap 28000 Ft/év+5%</t>
  </si>
  <si>
    <t>WinSzoc 48425/negyedév+27%</t>
  </si>
  <si>
    <t>SX 20000Ft/év+27%</t>
  </si>
  <si>
    <t>Katawin 27560Ft/év+27%</t>
  </si>
  <si>
    <t>Dingó gépjármű elszámolás 2011 utolsó negyedév alapján</t>
  </si>
  <si>
    <t>170000Ft/hó</t>
  </si>
  <si>
    <t>Matáv 130000Ft/hó+27%</t>
  </si>
  <si>
    <t>Datanet 20000Ft/hó+27%</t>
  </si>
  <si>
    <t>Pannon 100000Ft/hó+27%</t>
  </si>
  <si>
    <t>Munkavédelmi oktatás 31250Ft/hó+ 3*9375Ft</t>
  </si>
  <si>
    <t>Seat biztosítás Casco 32763Ft/negyedév</t>
  </si>
  <si>
    <t>Seat biztosítás GFB 8697Ft/negyedév</t>
  </si>
  <si>
    <t>értékbecslés kb15db*20eFt+27%</t>
  </si>
  <si>
    <t>takarnet+tul.lapok+27%</t>
  </si>
  <si>
    <t>posta  4500eFt/év+27%</t>
  </si>
  <si>
    <t>Secor Security Kft 240eFt+27%</t>
  </si>
  <si>
    <t>gépjármű karbantartás 431eFt+27%</t>
  </si>
  <si>
    <t>LDSZ 2000Ft/hó+27%</t>
  </si>
  <si>
    <t>földhivatali adatszolg.díja 2db 2*70000</t>
  </si>
  <si>
    <t>ügyvédi költség, szaktanácsadás, közbeszerzés, pályázatírás 120eft+áfa</t>
  </si>
  <si>
    <t>Netteam jogszabálykövetés díja 152400Ft/év áfával</t>
  </si>
  <si>
    <t>20fő márc.1-dec31</t>
  </si>
  <si>
    <t>áthúzódó 17 fő jan1-febr8</t>
  </si>
  <si>
    <t>35 fő 100%</t>
  </si>
  <si>
    <t>20 fő 100%</t>
  </si>
  <si>
    <t>15 fő 100%</t>
  </si>
  <si>
    <t>5 fő 100%</t>
  </si>
  <si>
    <t>áthúzódó 90%</t>
  </si>
  <si>
    <t>kisért t.eszk.</t>
  </si>
  <si>
    <t>nagyértékű</t>
  </si>
  <si>
    <t>beruházási</t>
  </si>
  <si>
    <t>szállítás</t>
  </si>
  <si>
    <t>vetőmag, növényvédő, gyomírtó, műtrágya</t>
  </si>
  <si>
    <t>egyéb</t>
  </si>
  <si>
    <t>Kisértékű t.eszk. Beszerzése</t>
  </si>
  <si>
    <t>Gép, berendezés beszerzés</t>
  </si>
  <si>
    <t>települési vízellátás</t>
  </si>
  <si>
    <t>2011 évi adatok alapján</t>
  </si>
  <si>
    <t>kéményseprés 13600Ft/év+4,8%+5%+27%</t>
  </si>
  <si>
    <t>(szemétszállítás 776000Ft/év+4,9%+5%+27%</t>
  </si>
  <si>
    <t>Bőgőtemetés: 350.000 Ft (plusz áfa)</t>
  </si>
  <si>
    <t>(20főX38350X12hó)</t>
  </si>
  <si>
    <t>(35 fő x 29500 Ft/fő/hó x 12 hó)</t>
  </si>
  <si>
    <t>(500fő*5800Ft*2 alkalom)</t>
  </si>
  <si>
    <t>(300 fő x 3000 Ft x 3 alk.)</t>
  </si>
  <si>
    <t>Részm foglalk egyéb bérrend alá tart rendszeres juttatásai</t>
  </si>
  <si>
    <t>önkormányzat a munkáltató 13,5%</t>
  </si>
  <si>
    <t>BEVÉTEL</t>
  </si>
  <si>
    <t>Működési célú támogatásértékű bevétel fejezeti kezelésű szervtől</t>
  </si>
  <si>
    <t>Díjak, egyéb befizetések ei</t>
  </si>
  <si>
    <t xml:space="preserve">étkezési hj.: </t>
  </si>
  <si>
    <t xml:space="preserve">OEP-től átvett </t>
  </si>
  <si>
    <t>Óvodáztatási támogatás (100)</t>
  </si>
  <si>
    <t>Óvodáztatási támogatás</t>
  </si>
  <si>
    <t>alap 10fő*10000Ft*2alkalom</t>
  </si>
  <si>
    <t>emelt 5fő*20000Ft*2 alkalom</t>
  </si>
  <si>
    <t>Mozgáskorlátozottak közlekedési támogatása</t>
  </si>
  <si>
    <t>882119- Óvodáztatási támogatás</t>
  </si>
  <si>
    <t>Költségviselő</t>
  </si>
  <si>
    <t>engedélyezett létszám</t>
  </si>
  <si>
    <t>fő 5%</t>
  </si>
  <si>
    <t>eFt</t>
  </si>
  <si>
    <t>Rákóczi</t>
  </si>
  <si>
    <t>Somogyudvarhelyi iskola</t>
  </si>
  <si>
    <t>Réti J. Zeneiskola</t>
  </si>
  <si>
    <t>Ped. Szakszolgálat</t>
  </si>
  <si>
    <t>Könyvtár</t>
  </si>
  <si>
    <t>Múzeum</t>
  </si>
  <si>
    <t>Eü. Intézmény</t>
  </si>
  <si>
    <t>Bölcsőde</t>
  </si>
  <si>
    <t>Szoc.gond.int</t>
  </si>
  <si>
    <t>Önk.igazgatás</t>
  </si>
  <si>
    <t>Többc</t>
  </si>
  <si>
    <t>Negyedévente Ft</t>
  </si>
  <si>
    <t>Szállítási szolgáltatás</t>
  </si>
  <si>
    <t>Egyéb dologi kiadás</t>
  </si>
  <si>
    <t>Közhasznú foglalkoztatás</t>
  </si>
  <si>
    <t>III. orvosi körzet</t>
  </si>
  <si>
    <t>A könyvtár tervezett finanszírozása az elmúlt évi eredeti előirányzathoz képest 15,7 %-kal (3.186 eFt-tal) csökken. Ha 2005. óta inflációkövető lenne a finanszírozás, akkor a mostani, 17.100 eFt támogatással szemben 25.813 eFt-tal kellene terveznünk. A különbség több mint 8,7 mFt, ami 34 %-os reálérték csökkenést jelent. Ezen felül a 2009. évben 5 mFt, a 2010. évben 7 mFt került elvonásra.
A 2012. évi előirányzat tervezetben az önkormányzat saját finanszírozása 11,5 mFt, amely 4,6 mFt-tal kevesebb az előző évi eredeti előirányzathoz viszonyítva. Ez közel 30 %-os csökkenést jelent.</t>
  </si>
  <si>
    <t>A Városi Könyvtár működési forrásai 2011. évi terv</t>
  </si>
  <si>
    <t>Pályázati források</t>
  </si>
  <si>
    <t>Mozgókönyvtári normatíva</t>
  </si>
  <si>
    <t>Mozgókönyvtári egyéb bevételek</t>
  </si>
  <si>
    <t>"Elméleti" 1/4 normatíva*</t>
  </si>
  <si>
    <t>Önkormányzati támogatás
helyi adókból</t>
  </si>
  <si>
    <t>* Elméleti érték
Települési önkorm. üzemeltetési, igazgatási, sport- és kulturális feladatai
(Költségvetési tv. 3. sz. mell. 1.)
4.074 Ft x 5.500 lakos</t>
  </si>
  <si>
    <r>
      <t xml:space="preserve">Infláció
</t>
    </r>
    <r>
      <rPr>
        <sz val="8"/>
        <rFont val="Arial CE"/>
        <family val="0"/>
      </rPr>
      <t>KSH adat</t>
    </r>
    <r>
      <rPr>
        <sz val="10"/>
        <rFont val="Arial CE"/>
        <family val="2"/>
      </rPr>
      <t xml:space="preserve">
%</t>
    </r>
  </si>
  <si>
    <t>BÉR 2012</t>
  </si>
  <si>
    <t>Engedélyezett létszám összesen: 9 fő ebből könyvtár: 8,25 fő, múzeum 0,75 fő 101/2011. (IX.08.) sz. KT. hat.</t>
  </si>
  <si>
    <t>KÖNYVTÁR (910 122 )</t>
  </si>
  <si>
    <t>8 órás</t>
  </si>
  <si>
    <t>6 órás</t>
  </si>
  <si>
    <t>4 órás</t>
  </si>
  <si>
    <t>pótlék alap</t>
  </si>
  <si>
    <t>Szakalkalmazott</t>
  </si>
  <si>
    <t>Adminisztratív</t>
  </si>
  <si>
    <t>Fizikai</t>
  </si>
  <si>
    <t>MOZGÓKÖNYVTÁR (910 123)</t>
  </si>
  <si>
    <t>910 122 : KÖNYVTÁRBAN FOGLALKOZTATOTTAK</t>
  </si>
  <si>
    <t>Fizetési</t>
  </si>
  <si>
    <t>kulcs sz.</t>
  </si>
  <si>
    <t>soros lépés</t>
  </si>
  <si>
    <t>december havi bér</t>
  </si>
  <si>
    <t>Nyelvpótlék</t>
  </si>
  <si>
    <t>Illetménypótlék</t>
  </si>
  <si>
    <t xml:space="preserve"> osztály</t>
  </si>
  <si>
    <t>fokozat</t>
  </si>
  <si>
    <t>új : 2012. 01.01-től</t>
  </si>
  <si>
    <t>garantált       1-11. hó</t>
  </si>
  <si>
    <t>alap x 50%</t>
  </si>
  <si>
    <t>magasabb vezetői     (225 %)</t>
  </si>
  <si>
    <t>H</t>
  </si>
  <si>
    <t>3181136*</t>
  </si>
  <si>
    <t>2013</t>
  </si>
  <si>
    <t>F</t>
  </si>
  <si>
    <t>Részmunkaidőben foglalkoztatottak személyi juttatásai</t>
  </si>
  <si>
    <t>.../2013. (…….) rendelet</t>
  </si>
  <si>
    <t>jogcíme</t>
  </si>
  <si>
    <t>összege</t>
  </si>
  <si>
    <t>eredeti ei.</t>
  </si>
  <si>
    <t>mód.ei.</t>
  </si>
  <si>
    <t>teljesítés</t>
  </si>
  <si>
    <t>(jellege)</t>
  </si>
  <si>
    <t>Szociális tv.114.$-115.$</t>
  </si>
  <si>
    <t>1. költségvetési működési hiány belső finanszírozása: előző évi pénzmaradvány igénybevétele</t>
  </si>
  <si>
    <t>8. melléklet</t>
  </si>
  <si>
    <t>2024.</t>
  </si>
  <si>
    <t>2025.</t>
  </si>
  <si>
    <t>2026.</t>
  </si>
  <si>
    <t>3. Hitelek</t>
  </si>
  <si>
    <t>Vilkor 210 eFt/hó</t>
  </si>
  <si>
    <t>Szellemi tevékenység</t>
  </si>
  <si>
    <t>Közcélú foglalkozatatás támogatása normatív része</t>
  </si>
  <si>
    <t>MŰKÖDÉSI CÉLÚ TÁMOGATÁSÉRTÉKŰ KIADÁS</t>
  </si>
  <si>
    <t>MŰKÖDÉSI CÉLÚ TÁMOGATÁSÉRTÉKŰ KIADÁSOK ÖSSZESEN:</t>
  </si>
  <si>
    <t>II. Önkormányzatok sajátos működési bevételei</t>
  </si>
  <si>
    <t>2. Önkormányzatok sajátos felhalmozási és tőkebevételei</t>
  </si>
  <si>
    <t>1. normatív támogatások</t>
  </si>
  <si>
    <t>BEVÉTELEK MINDÖSSZESEN:</t>
  </si>
  <si>
    <t>2. Polgármesteri Hivatal igazgatási kiadásai</t>
  </si>
  <si>
    <t>1. Általános tartalék</t>
  </si>
  <si>
    <t>KIADÁSOK MINDÖSSZESEN:</t>
  </si>
  <si>
    <t>Szakfeladatok megnevezése</t>
  </si>
  <si>
    <t>Őszi fesztivál (Testvérvárosi Találkozó 2009.)támogatása</t>
  </si>
  <si>
    <t>Köztisztviselők továbbképzése (1 fő, szakv.)</t>
  </si>
  <si>
    <t>Internet költségtérítés</t>
  </si>
  <si>
    <t>Folyóirat</t>
  </si>
  <si>
    <t>jubileum</t>
  </si>
  <si>
    <t>soros: 2012.01.25. 3_04</t>
  </si>
  <si>
    <t>Gazdasági, szakmai ügyintézés költségeire</t>
  </si>
  <si>
    <t>841403-Városgazdálkodás</t>
  </si>
  <si>
    <t>Karbantartás kisjavítás</t>
  </si>
  <si>
    <t>hótolás, kátyuzás</t>
  </si>
  <si>
    <t>Bérpotló juttatás (80 %)</t>
  </si>
  <si>
    <t>Közfoglalkoztatásra Munkaügyi Központtól</t>
  </si>
  <si>
    <t>OEP- től átvett</t>
  </si>
  <si>
    <t>Csuszafesztivál támogatása</t>
  </si>
  <si>
    <t>Szilajka Eszter</t>
  </si>
  <si>
    <t>Alapilletmények összesen</t>
  </si>
  <si>
    <t>Egyéb kötelező illetménypótlékok</t>
  </si>
  <si>
    <t>Vezetői pótlék (150 %) 1 fő: 30.000,- Ft*12 hó</t>
  </si>
  <si>
    <t>Egyéb kötelező illetménypótlékok összesen</t>
  </si>
  <si>
    <t>Rendszeres személyi juttatások</t>
  </si>
  <si>
    <t xml:space="preserve">Munkavégzéshez kapcsolódó juttatások </t>
  </si>
  <si>
    <t>Készenléti, ügyeleti, helyettesítési díj, túlóra, túlszolgálat</t>
  </si>
  <si>
    <t>8 fő*5.250,-Ft*12hó = 504.000,- Ft</t>
  </si>
  <si>
    <t xml:space="preserve">Egyéb munkavégzéshez kapcsolódó juttatások </t>
  </si>
  <si>
    <t>Munkavégzéshez kapcsolódó juttatások összesen</t>
  </si>
  <si>
    <t xml:space="preserve">Foglalkoztatottak sajátos juttatásai </t>
  </si>
  <si>
    <t>(KÖLTSÉGFELOSZTÁSBÓL: 41.000,-Ft)</t>
  </si>
  <si>
    <t>KÖLTSÉGFELOSZTÁSBÓL: 1.000,-Ft</t>
  </si>
  <si>
    <t xml:space="preserve">Teljes munkaidőben foglalkoztatottak sajátos juttatásai </t>
  </si>
  <si>
    <t>Személyhez kapcsolódó költségtér. és hozzájár.</t>
  </si>
  <si>
    <t xml:space="preserve">Közlekedési költségtérítés </t>
  </si>
  <si>
    <t>Nagykanizsa: 50km*9Ft/km*220nap= 99.000,- Ft</t>
  </si>
  <si>
    <t>Nagyatád: 18.405,-Ft*10 hó (bérlet)</t>
  </si>
  <si>
    <t xml:space="preserve">Közlekedési költségtérítés összesen: </t>
  </si>
  <si>
    <t xml:space="preserve">Egyéb költségtérítés és hozzájárulás </t>
  </si>
  <si>
    <t>Teljes m.időben fogl. személyh. kapcs költségt. és hozzáj.</t>
  </si>
  <si>
    <t>Személyhez kapcs.költségtérítések és hozzájárulások összesen</t>
  </si>
  <si>
    <t>Teljes munkaidőben foglalkoztatottak nem rendszeres juttatásai</t>
  </si>
  <si>
    <t>Állományba nem tartozók juttatása   (járulékköteles)</t>
  </si>
  <si>
    <t xml:space="preserve">Állományba nem tartozók juttatásai </t>
  </si>
  <si>
    <t>Személyi juttatások összesen</t>
  </si>
  <si>
    <t xml:space="preserve">Munkaadókat terhelő járulékok </t>
  </si>
  <si>
    <t xml:space="preserve">KÖLTSÉGFELOSZTÁSBÓL: </t>
  </si>
  <si>
    <t xml:space="preserve">Társadalombiztosítási járulék összesen  </t>
  </si>
  <si>
    <t>Munkaadót terhelő járulékok összesen</t>
  </si>
  <si>
    <t>3.oldal</t>
  </si>
  <si>
    <t>Készletbeszerzések</t>
  </si>
  <si>
    <t>Könyv beszerzés</t>
  </si>
  <si>
    <t>Folyóirat beszerzés</t>
  </si>
  <si>
    <t>Szakmai anyag kisértékű tárgyi eszköz</t>
  </si>
  <si>
    <t>Kisértékű tárgyi eszköz, szellemi term.besz.</t>
  </si>
  <si>
    <t>Munkaruha, védőruha 8fő*10.000,-Ft</t>
  </si>
  <si>
    <t>pl. karbantartási eszközök, alkatrészek, szerszámok, butorok, textiliák, telefon, faxkészülék</t>
  </si>
  <si>
    <t>Villamosenergiadij</t>
  </si>
  <si>
    <t>pl. üzemorvosi vizsgálat, postai szolgáltatás, szemétszállítás, kéményseprés, rovarirtás</t>
  </si>
  <si>
    <t>magánszemély, egyéni váll.által bérelt ingatlan közműdija</t>
  </si>
  <si>
    <t>Szolgáltatások összesen</t>
  </si>
  <si>
    <t xml:space="preserve">Általános forgalmi adó  </t>
  </si>
  <si>
    <t xml:space="preserve">Konferencia, tanfolyam, </t>
  </si>
  <si>
    <t>Reprezentáció, reklám</t>
  </si>
  <si>
    <t>pl. utazás, szállás, parkolási díj, rendezvények étel-ital,</t>
  </si>
  <si>
    <t xml:space="preserve">pl. vásárolt oktatás, továbbképzés,  </t>
  </si>
  <si>
    <t xml:space="preserve">Egyéb befizetési kötelezettség </t>
  </si>
  <si>
    <t>Különféle adók, díjak, befizetések (rehab.h.jár.)</t>
  </si>
  <si>
    <t>késedelmi kamat</t>
  </si>
  <si>
    <t>Dologi kiadások összesen</t>
  </si>
  <si>
    <t>Működési kiadások mindösszesen</t>
  </si>
  <si>
    <t>Személyi jellegű juttatások</t>
  </si>
  <si>
    <t>Munkáltatót terhelő járulékok</t>
  </si>
  <si>
    <r>
      <t xml:space="preserve">Túlóra: </t>
    </r>
    <r>
      <rPr>
        <sz val="11"/>
        <rFont val="Arial"/>
        <family val="2"/>
      </rPr>
      <t>lásd melléklet</t>
    </r>
  </si>
  <si>
    <r>
      <t xml:space="preserve">Napidíj </t>
    </r>
    <r>
      <rPr>
        <sz val="11"/>
        <rFont val="Arial"/>
        <family val="2"/>
      </rPr>
      <t>8 fő*3alkalom*500,-Ft/nap= 12.000,- Ft  +</t>
    </r>
  </si>
  <si>
    <r>
      <t>8 fő*6.300,-Ft=50.400,-Ft+</t>
    </r>
    <r>
      <rPr>
        <b/>
        <sz val="10"/>
        <rFont val="Arial"/>
        <family val="2"/>
      </rPr>
      <t>Költsgfelo.-ból: 1.000,-F</t>
    </r>
    <r>
      <rPr>
        <sz val="10"/>
        <rFont val="Arial"/>
        <family val="2"/>
      </rPr>
      <t>t</t>
    </r>
  </si>
  <si>
    <r>
      <t xml:space="preserve">Állományba nem tartozók juttatásai       </t>
    </r>
    <r>
      <rPr>
        <sz val="11"/>
        <rFont val="Arial CE"/>
        <family val="0"/>
      </rPr>
      <t xml:space="preserve"> (járulékköteles)</t>
    </r>
  </si>
  <si>
    <t>Eötvös József Általános Iskola</t>
  </si>
  <si>
    <t>2012. évi költségvetési előirányzatainak összesítése</t>
  </si>
  <si>
    <t>MINDÖSSZ.</t>
  </si>
  <si>
    <t>Óv.int.étk.</t>
  </si>
  <si>
    <t>Isk.int.étk.</t>
  </si>
  <si>
    <t>Ált.i.1-4.évf.</t>
  </si>
  <si>
    <t>Ált.i.5-8.évf.</t>
  </si>
  <si>
    <t>Ált.i.napk.</t>
  </si>
  <si>
    <t>Ált.i.tan.sz.</t>
  </si>
  <si>
    <t>Eötvös Isk.</t>
  </si>
  <si>
    <t>alkalm.</t>
  </si>
  <si>
    <t>falusi szoc.</t>
  </si>
  <si>
    <t>vendég étk.</t>
  </si>
  <si>
    <t>019</t>
  </si>
  <si>
    <t>015</t>
  </si>
  <si>
    <t>014</t>
  </si>
  <si>
    <t>018</t>
  </si>
  <si>
    <t>017</t>
  </si>
  <si>
    <t>KÖZALKALMAZOTTI (engedélyezett) LÉTSZÁM (FŐ)</t>
  </si>
  <si>
    <t>mentor: 1</t>
  </si>
  <si>
    <t>Egyéb feltételtől függő pótlék</t>
  </si>
  <si>
    <t>Egyéb sajátos juttatások (ped.továbbképzés)</t>
  </si>
  <si>
    <t>Egyéb költstér. és hozzájár. (ped.szakkönyv)</t>
  </si>
  <si>
    <t>Szociális hozzájárulási adó ( 27% )</t>
  </si>
  <si>
    <t>óvodás</t>
  </si>
  <si>
    <t>ált.iskolás</t>
  </si>
  <si>
    <t>Ktsg.feloszt.</t>
  </si>
  <si>
    <t>Egyéb anyagbeszerzés</t>
  </si>
  <si>
    <t>Számlázott szellemi tevékenység (rendszergazda,stb.)</t>
  </si>
  <si>
    <t xml:space="preserve">Egyéb fbefizetési kötelezettség </t>
  </si>
  <si>
    <t>Különféle adók, díjak, befizetések (rehab.h.jár)</t>
  </si>
  <si>
    <t>KIADÁS ÖSSZESEN:</t>
  </si>
  <si>
    <t xml:space="preserve">   Egészségügyi Szolgáltató Nonprofit Kft.-nek átadás</t>
  </si>
  <si>
    <t>Műk-i kiadás: 277.836 csökkentve az Eötvös Iskola étkeztetés szakfeladataira tervezett költségekkel</t>
  </si>
  <si>
    <t>10793 és 200 normatíva csökkentve a konyhával kapcsolatos dolgok</t>
  </si>
  <si>
    <t>Iparűzési adó</t>
  </si>
  <si>
    <t>Pótlékok, bírságok</t>
  </si>
  <si>
    <t>Pedagógus szakvizsga, továbbképzés</t>
  </si>
  <si>
    <t>Államháztartáson kívülre fizetett kamatok</t>
  </si>
  <si>
    <t>Gyógyszer, vegyszer</t>
  </si>
  <si>
    <t>Könyv, folyóirat, egyéb információhordozó</t>
  </si>
  <si>
    <t>Hajtó- és kenőanyag</t>
  </si>
  <si>
    <t>Egyéb dologi kiadások</t>
  </si>
  <si>
    <t>Polgármesteri Alap</t>
  </si>
  <si>
    <t>Sport utánpótlás támogatása</t>
  </si>
  <si>
    <t>CsTK támogatása</t>
  </si>
  <si>
    <t>Szentlélek Római Katolikus Plébánia támogatása</t>
  </si>
  <si>
    <t>Jézus Szíve Római Katolikus Plébánia támogatása</t>
  </si>
  <si>
    <t>13. melléklet</t>
  </si>
  <si>
    <t>12. melléklet</t>
  </si>
  <si>
    <t>11. melléklet</t>
  </si>
  <si>
    <t>Függő, átfutó kiadások</t>
  </si>
  <si>
    <t>V. Költségvetési bevétel és kiadás különbözete (hiány)</t>
  </si>
  <si>
    <t>IV. Előző évi költségvetési visszatérülések</t>
  </si>
  <si>
    <t>Csurgó Város Önkormányzatának és Polgármesteri Hivatalának igazgatási és szakfeladatos működési bevételeinek teljesítése 2012. évben</t>
  </si>
  <si>
    <t>Csurgó Város Polgármesteri Hivatala szakfeladatos és önállóan működő intézmények működési bevételeinek teljesítése 2012. évben</t>
  </si>
  <si>
    <t>Csurgó Város Önkormányzata működési bevételeinek és kiadásainak 2012. évi teljesítése</t>
  </si>
  <si>
    <t>2.1 melléklet/1. oldal</t>
  </si>
  <si>
    <t>2.1 melléklet/ 2. oldal</t>
  </si>
  <si>
    <t>Csurgó Város Polgármesteri Hivatala szakfeladatos és önállóan működő intézmények működési kiadásainak teljesítése 2012. évben</t>
  </si>
  <si>
    <t>2.2 melléklet/2. oldal</t>
  </si>
  <si>
    <t>2.2 melléklet/1. oldal</t>
  </si>
  <si>
    <t>4.2 melléklet</t>
  </si>
  <si>
    <t>Csurgó Város Önkormányzata felhalmozási kiadásainak 2012. évi teljesítése</t>
  </si>
  <si>
    <t>Csurgó Város Önkormányzata felhalmozási bevételeinek 2012. évi teljesítése</t>
  </si>
  <si>
    <t>tartalékok teljesítése 2012. évben</t>
  </si>
  <si>
    <t xml:space="preserve">…………../2013.(……………..) rendelethez </t>
  </si>
  <si>
    <t>Kimutatás a Csurgó Városi Önkormányzat 2012. évi mérlegadatairól</t>
  </si>
  <si>
    <t xml:space="preserve">7.1 melléklet </t>
  </si>
  <si>
    <t>7.2 melléklet</t>
  </si>
  <si>
    <t xml:space="preserve">7.3  melléklet </t>
  </si>
  <si>
    <t xml:space="preserve">7.4 melléklet </t>
  </si>
  <si>
    <t>…………../2013.(……………..) rendelethez                                                                                                                                                                                                                                                                                                                                                                                             Kimutatás Csurgó Város Önkormányzatának 2012. évi vagyonáról</t>
  </si>
  <si>
    <t>7.5 melléklet</t>
  </si>
  <si>
    <t>7.6 melléklet</t>
  </si>
  <si>
    <t>Csurgó Város Önkormányzatának több éves kihatással járó feladatainak teljesítése éves bontásban</t>
  </si>
  <si>
    <t>1. IPA hitelfelvétel</t>
  </si>
  <si>
    <t>Csurgó Város Önkormányzata bevételeinek és kiadásainak 2012. évi teljesítése</t>
  </si>
  <si>
    <t>14. melléklet</t>
  </si>
  <si>
    <t>Hosszú lejáratú költségvetési betétszámlák záróegyenlegei</t>
  </si>
  <si>
    <t>Rövid lejáratú költségvetési pénzforgalmi és betétszámlák záróegyenlegei</t>
  </si>
  <si>
    <t>Pénztárak és betétkönyvek záróegyenlegei</t>
  </si>
  <si>
    <t>I. Záró pénzkészlet</t>
  </si>
  <si>
    <t>II. Forgatási célú finanszírozási műveletek egyenlege</t>
  </si>
  <si>
    <t>Költségvetési aktív elszámolások záróegyenlege</t>
  </si>
  <si>
    <t>Költségvetési passzív elszámolások záróegyenlege</t>
  </si>
  <si>
    <t xml:space="preserve">      c) Önkormányzati lakások értékesítése</t>
  </si>
  <si>
    <t xml:space="preserve">      d) Lőtér értékesítése</t>
  </si>
  <si>
    <t xml:space="preserve">      e) Zeneiskola épületének értékesítése</t>
  </si>
  <si>
    <t xml:space="preserve">      f) Önkormányzati lakások (Rákóczi 110.) értékesítése</t>
  </si>
  <si>
    <t>g) Felhalmozási kiadáshoz kapcsolódó áfa visszatérülés</t>
  </si>
  <si>
    <t>a. Városrehabilitáció (EU önerő alap)</t>
  </si>
  <si>
    <t>b. Csurgó Belterületi Vízrendezés (EU önerő alap)</t>
  </si>
  <si>
    <t>c. Szennyvízberuházás II. EU önerőalap (szennyvíztársulás)</t>
  </si>
  <si>
    <t>b. Széchenyi tér körforgalom</t>
  </si>
  <si>
    <t>c. Térségi szennyvíz előkészítő szakasz KEOP</t>
  </si>
  <si>
    <t>d. Városrehabilitáció (LHH)</t>
  </si>
  <si>
    <t xml:space="preserve">e. Jézus Szíve Katolikus Plébánia felújítás (Városrehabilitáció konzorciós partner) </t>
  </si>
  <si>
    <t>f. Jézus Szíve Katolikus Plébánia felújítására (Városrehabilitáció konzorciós partner) önerőre átvett pénzeszköz</t>
  </si>
  <si>
    <t>g. Szennyvízberuházás II. KEOP támogatás (szenyvíztársulás)</t>
  </si>
  <si>
    <t>i. Polgármesteri Hivatal szervezetfejlesztés ÁROP támogatása (szoftverek)</t>
  </si>
  <si>
    <t xml:space="preserve">   j. "Hagyomány és Innováció" Iskolai pályázat (DDOP)</t>
  </si>
  <si>
    <t>k. Polgármesteri Hivatal nyílászárók cseréje LEADER</t>
  </si>
  <si>
    <t xml:space="preserve">    l. Csurgó Belterületi Vízrendezés</t>
  </si>
  <si>
    <t>EU Önerő Alap támogatása</t>
  </si>
  <si>
    <t>Hosszúlejáratú fejl hitel 2011. évi törl + kamat (-)</t>
  </si>
  <si>
    <t>Mesevár Óvoda</t>
  </si>
  <si>
    <t xml:space="preserve">                   Rövid lejáratú hitelek törlesztése kamattal</t>
  </si>
  <si>
    <t xml:space="preserve"> 4. MFB hitel - utak felújítására (2006.)</t>
  </si>
  <si>
    <t xml:space="preserve"> 5. MFB hitel  - játszótér kialakítására (2006.)</t>
  </si>
  <si>
    <t xml:space="preserve"> 6. MFB hitel Mesevár Óvoda, Eötvös Iskola felújítására (2006.)</t>
  </si>
  <si>
    <t xml:space="preserve"> 7. Körforgalom önerejére MFB hitel</t>
  </si>
  <si>
    <t xml:space="preserve"> 8. TEKI,LEKI,CEDE (2009.) önerejére MFB hitel</t>
  </si>
  <si>
    <t xml:space="preserve"> 9. Eötvös Iskola világításkorszerűsítésre</t>
  </si>
  <si>
    <t>11. Hosszú lejáratú EU-s pályázat előfinanszírozását szolgáló fejlesztési hitel törlesztése (IPA)</t>
  </si>
  <si>
    <t>2. Földterület vásárlása</t>
  </si>
  <si>
    <t>3. Gép, berendezés beszerzése</t>
  </si>
  <si>
    <t>BERUHÁZÁSOK ÖSSZESEN</t>
  </si>
  <si>
    <t>V. Államháztartáson kívülre átadott felhalmozási célú pénzeszközök</t>
  </si>
  <si>
    <t>Tűzoltóság eszközök beszerzésének önerejére (10 %)</t>
  </si>
  <si>
    <t>Államháztartáson kívülre átadott felhalmozási célú pénzeszközök összesen</t>
  </si>
  <si>
    <t>VI. Fejlesztési célú támogatásértékű kiadás</t>
  </si>
  <si>
    <t>Volt Napsugár Szöv. Ingatlanvásárlására felvett hitel (36 millió Ft)tőketörlesztése</t>
  </si>
  <si>
    <t>Korábbi hitelek kiváltására felvett hitel (77.478 e Ft) )tőketörlesztése</t>
  </si>
  <si>
    <t>Szociális bérlakásépítésre felvett hitel )tőketörlesztése</t>
  </si>
  <si>
    <t>Virág, Kodály, Csokonai, Dózsa utca, Eötvös Iskola járdaburkolat</t>
  </si>
  <si>
    <t>10. Virág, Kodály, Csokonai, Dózsa utca, Eötvös Iskola járdaburkolat</t>
  </si>
  <si>
    <t>ESZKÖZÖK</t>
  </si>
  <si>
    <t>Önállóan és részben önállóan gazdálkodó intézmények</t>
  </si>
  <si>
    <t>Imm.javak és tárgyi eszközök befejezetlen beruházás nélküli bruttó értéke</t>
  </si>
  <si>
    <t>Nettó értékből</t>
  </si>
  <si>
    <t>Tárgyi eszközök mindösszesen nettó</t>
  </si>
  <si>
    <t>immateriális javak</t>
  </si>
  <si>
    <t>Tárgyi eszközök</t>
  </si>
  <si>
    <t>forg.képt. Ingatlan</t>
  </si>
  <si>
    <t>korl.f.kép. ingatlan</t>
  </si>
  <si>
    <t>f.képes ingatlan</t>
  </si>
  <si>
    <t>ingatlanok összesen</t>
  </si>
  <si>
    <t>gépek, berend.</t>
  </si>
  <si>
    <t>járművek</t>
  </si>
  <si>
    <t>Befejezetlen beruházások</t>
  </si>
  <si>
    <t>Városi Iskolák és Óvodák</t>
  </si>
  <si>
    <t>Eötvös Ált. Iskola</t>
  </si>
  <si>
    <t>II.Rákóczi Ált.Iskola</t>
  </si>
  <si>
    <t>Réti József Műv.okt.Int.</t>
  </si>
  <si>
    <t>Sudvarhelyi Ált.Iskola</t>
  </si>
  <si>
    <t>Városi Könyvtár-Múzeum</t>
  </si>
  <si>
    <t>Mozgókönyvtár</t>
  </si>
  <si>
    <t>Városi Egészségügyi és Szociális Int.</t>
  </si>
  <si>
    <t>Városi Bölcsöde</t>
  </si>
  <si>
    <t>Városi Szoc. Intézmény</t>
  </si>
  <si>
    <t>Intézmények össz:</t>
  </si>
  <si>
    <t>Polgármesteri Hiv.</t>
  </si>
  <si>
    <t>MINDÖSSZESEN:</t>
  </si>
  <si>
    <t>…………../2013.(……………..) rendelethez                                                                                                                                                                                                                                                                                     Kimutatás Csurgó Város Önkormányzatának 2012. évi mérlegadatairól</t>
  </si>
  <si>
    <t>Egyéb tartós részesedés</t>
  </si>
  <si>
    <t>Tartósan adott kölcsönök</t>
  </si>
  <si>
    <t>Befektetett püi. eszk. összesen</t>
  </si>
  <si>
    <t>Üzemeltetésre átadott</t>
  </si>
  <si>
    <t>Üz-re átadott mindössz.</t>
  </si>
  <si>
    <t>Befektetett eszközök mindössz.</t>
  </si>
  <si>
    <t>f.képtelen ingatlan</t>
  </si>
  <si>
    <t>korl. f.kép. ingatlan</t>
  </si>
  <si>
    <t>gépek, berendezés</t>
  </si>
  <si>
    <t>Egyéb m.n.s építés</t>
  </si>
  <si>
    <t xml:space="preserve"> - Gép, berendezés beszerzése (Iskola)</t>
  </si>
  <si>
    <t xml:space="preserve"> - Immat. javak vásárlása</t>
  </si>
  <si>
    <t>Helyszíni szabálysértés, bírság</t>
  </si>
  <si>
    <t>Nőgyógyászat</t>
  </si>
  <si>
    <t>056</t>
  </si>
  <si>
    <t>Fogászat</t>
  </si>
  <si>
    <t>057</t>
  </si>
  <si>
    <t>Védőnői Szolgálat</t>
  </si>
  <si>
    <t>058</t>
  </si>
  <si>
    <t>Fizió- és reuma Szakr.</t>
  </si>
  <si>
    <t>059</t>
  </si>
  <si>
    <t>Eü ellátás egyéb feladatai</t>
  </si>
  <si>
    <t>060</t>
  </si>
  <si>
    <t>070</t>
  </si>
  <si>
    <t>075</t>
  </si>
  <si>
    <t>Nevelési Tanácsadó</t>
  </si>
  <si>
    <t>080</t>
  </si>
  <si>
    <t>Szociális Szolgálató ÖNO</t>
  </si>
  <si>
    <t>085</t>
  </si>
  <si>
    <t>Mikrotérségi Társulás</t>
  </si>
  <si>
    <t>1**</t>
  </si>
  <si>
    <t>Polgármesteri Hivatal és</t>
  </si>
  <si>
    <t>Szakfeladatai</t>
  </si>
  <si>
    <t>102</t>
  </si>
  <si>
    <t>Parkfenntartás</t>
  </si>
  <si>
    <t>108</t>
  </si>
  <si>
    <t>Közutak karbantartása</t>
  </si>
  <si>
    <t>109</t>
  </si>
  <si>
    <t>Szennyvízkezelés II</t>
  </si>
  <si>
    <t>Lakás és helyiségek</t>
  </si>
  <si>
    <t>karbantartása</t>
  </si>
  <si>
    <t>Szennyvíztársulás</t>
  </si>
  <si>
    <t>Fejlesztési kiadások összesen:</t>
  </si>
  <si>
    <t>Fejlesztési bevételek</t>
  </si>
  <si>
    <t>Szennyvízberuházás</t>
  </si>
  <si>
    <t>EU Önerő támogatás</t>
  </si>
  <si>
    <t>Szennyvíz KEOP</t>
  </si>
  <si>
    <t>Szennyvíz (KEOP) áfa</t>
  </si>
  <si>
    <t>10 fő febr.1-dec31.(br.92000)</t>
  </si>
  <si>
    <t>25 fő febr.1-dec.31 (br.71800)</t>
  </si>
  <si>
    <t>15 fő márc.1-dec31</t>
  </si>
  <si>
    <t>5 fő febr.1-márc31</t>
  </si>
  <si>
    <t>7 fő képviselő x 45.000 Ft/hó/fő x (12 hó) =</t>
  </si>
  <si>
    <t>Hirdetési bevétel</t>
  </si>
  <si>
    <t>Egyéb bérrendszer munkabére (alpolgármester)</t>
  </si>
  <si>
    <t>WinGyer 55512/félév+27%</t>
  </si>
  <si>
    <t>jegyzőkönyvkötés 121800Ft/év+27%</t>
  </si>
  <si>
    <t>Pedagógus szakképzés normatíva</t>
  </si>
  <si>
    <t>Polgármesteri Hivatal összesen</t>
  </si>
  <si>
    <t>Önkormányzat összesen</t>
  </si>
  <si>
    <t>Önkormányzat és polgármesteri hivatal igazgatási és szakfeladatos működési kiadásai összesen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</si>
</sst>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0.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_-* #,##0.000\ _F_t_-;\-* #,##0.000\ _F_t_-;_-* &quot;-&quot;???\ _F_t_-;_-@_-"/>
    <numFmt numFmtId="174" formatCode="&quot;H-&quot;0000"/>
    <numFmt numFmtId="175" formatCode="#,##0_ ;\-#,##0\ "/>
    <numFmt numFmtId="176" formatCode="0.00000"/>
    <numFmt numFmtId="177" formatCode="[$-40E]yyyy\.\ mmmm\ d\."/>
    <numFmt numFmtId="178" formatCode="0.0000E+00"/>
    <numFmt numFmtId="179" formatCode="0.0000;[Red]0.0000"/>
    <numFmt numFmtId="180" formatCode="0.0%"/>
    <numFmt numFmtId="181" formatCode="0.00000000"/>
    <numFmt numFmtId="182" formatCode="0.000000000"/>
    <numFmt numFmtId="183" formatCode="0.0000000"/>
    <numFmt numFmtId="184" formatCode="0.000000"/>
    <numFmt numFmtId="185" formatCode="0;[Red]0"/>
    <numFmt numFmtId="186" formatCode="#,##0\ &quot;Ft&quot;"/>
  </numFmts>
  <fonts count="1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u val="single"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49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sz val="9"/>
      <name val="Arial CE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  <font>
      <i/>
      <sz val="10"/>
      <name val="Arial CE"/>
      <family val="0"/>
    </font>
    <font>
      <b/>
      <sz val="18"/>
      <color indexed="18"/>
      <name val="Arial CE"/>
      <family val="0"/>
    </font>
    <font>
      <i/>
      <sz val="9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0"/>
    </font>
    <font>
      <i/>
      <sz val="9"/>
      <color indexed="23"/>
      <name val="Arial CE"/>
      <family val="2"/>
    </font>
    <font>
      <i/>
      <sz val="12"/>
      <name val="Arial CE"/>
      <family val="0"/>
    </font>
    <font>
      <sz val="16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18"/>
      <name val="Arial CE"/>
      <family val="0"/>
    </font>
    <font>
      <sz val="11"/>
      <color indexed="18"/>
      <name val="Arial CE"/>
      <family val="0"/>
    </font>
    <font>
      <b/>
      <sz val="11"/>
      <color indexed="18"/>
      <name val="Arial CE"/>
      <family val="0"/>
    </font>
    <font>
      <b/>
      <i/>
      <sz val="11"/>
      <color indexed="18"/>
      <name val="Arial CE"/>
      <family val="0"/>
    </font>
    <font>
      <i/>
      <sz val="11"/>
      <color indexed="18"/>
      <name val="Arial CE"/>
      <family val="0"/>
    </font>
    <font>
      <b/>
      <i/>
      <sz val="12"/>
      <name val="Arial CE"/>
      <family val="0"/>
    </font>
    <font>
      <b/>
      <sz val="11"/>
      <color indexed="10"/>
      <name val="Arial CE"/>
      <family val="0"/>
    </font>
    <font>
      <sz val="10"/>
      <color indexed="18"/>
      <name val="Arial CE"/>
      <family val="0"/>
    </font>
    <font>
      <sz val="9"/>
      <color indexed="18"/>
      <name val="Arial CE"/>
      <family val="0"/>
    </font>
    <font>
      <sz val="9"/>
      <color indexed="63"/>
      <name val="Arial CE"/>
      <family val="0"/>
    </font>
    <font>
      <sz val="10"/>
      <color indexed="23"/>
      <name val="Arial CE"/>
      <family val="0"/>
    </font>
    <font>
      <i/>
      <sz val="10"/>
      <color indexed="23"/>
      <name val="Arial CE"/>
      <family val="0"/>
    </font>
    <font>
      <sz val="7"/>
      <name val="Arial CE"/>
      <family val="2"/>
    </font>
    <font>
      <b/>
      <sz val="13"/>
      <name val="Arial"/>
      <family val="2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i/>
      <sz val="11"/>
      <name val="Arial CE"/>
      <family val="2"/>
    </font>
    <font>
      <b/>
      <sz val="11"/>
      <color indexed="10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36"/>
      <name val="Arial"/>
      <family val="2"/>
    </font>
    <font>
      <b/>
      <sz val="11"/>
      <color indexed="36"/>
      <name val="Arial"/>
      <family val="2"/>
    </font>
    <font>
      <b/>
      <sz val="12"/>
      <color indexed="36"/>
      <name val="Arial CE"/>
      <family val="2"/>
    </font>
    <font>
      <i/>
      <sz val="11"/>
      <name val="Times New Roman"/>
      <family val="1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7.55"/>
      <color indexed="8"/>
      <name val="Arial"/>
      <family val="2"/>
    </font>
    <font>
      <sz val="8.7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10"/>
      <color indexed="13"/>
      <name val="Arial"/>
      <family val="0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i/>
      <sz val="9"/>
      <name val="Times New Roman"/>
      <family val="1"/>
    </font>
    <font>
      <sz val="7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1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 style="medium"/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/>
      <right/>
      <top style="medium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3" fillId="7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0" fillId="17" borderId="7" applyNumberFormat="0" applyFont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21" borderId="0" applyNumberFormat="0" applyBorder="0" applyAlignment="0" applyProtection="0"/>
    <xf numFmtId="0" fontId="101" fillId="4" borderId="0" applyNumberFormat="0" applyBorder="0" applyAlignment="0" applyProtection="0"/>
    <xf numFmtId="0" fontId="102" fillId="22" borderId="8" applyNumberFormat="0" applyAlignment="0" applyProtection="0"/>
    <xf numFmtId="0" fontId="10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" borderId="0" applyNumberFormat="0" applyBorder="0" applyAlignment="0" applyProtection="0"/>
    <xf numFmtId="0" fontId="105" fillId="23" borderId="0" applyNumberFormat="0" applyBorder="0" applyAlignment="0" applyProtection="0"/>
    <xf numFmtId="0" fontId="106" fillId="22" borderId="1" applyNumberFormat="0" applyAlignment="0" applyProtection="0"/>
    <xf numFmtId="9" fontId="0" fillId="0" borderId="0" applyFont="0" applyFill="0" applyBorder="0" applyAlignment="0" applyProtection="0"/>
  </cellStyleXfs>
  <cellXfs count="30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 indent="2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5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24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3" fontId="3" fillId="24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 indent="2"/>
    </xf>
    <xf numFmtId="3" fontId="7" fillId="0" borderId="0" xfId="0" applyNumberFormat="1" applyFont="1" applyAlignment="1">
      <alignment horizontal="right"/>
    </xf>
    <xf numFmtId="3" fontId="3" fillId="24" borderId="0" xfId="0" applyNumberFormat="1" applyFont="1" applyFill="1" applyAlignment="1">
      <alignment/>
    </xf>
    <xf numFmtId="3" fontId="3" fillId="25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5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3" fillId="24" borderId="0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3" fontId="3" fillId="25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3" fontId="3" fillId="25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13" fillId="0" borderId="0" xfId="0" applyNumberFormat="1" applyFont="1" applyAlignment="1">
      <alignment horizontal="right"/>
    </xf>
    <xf numFmtId="0" fontId="3" fillId="0" borderId="12" xfId="0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2" fillId="0" borderId="0" xfId="0" applyFont="1" applyAlignment="1">
      <alignment/>
    </xf>
    <xf numFmtId="3" fontId="12" fillId="0" borderId="10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2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/>
    </xf>
    <xf numFmtId="164" fontId="3" fillId="0" borderId="1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2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0" fillId="0" borderId="13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 quotePrefix="1">
      <alignment horizontal="left" vertical="center" indent="1"/>
    </xf>
    <xf numFmtId="3" fontId="7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2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3" fontId="0" fillId="26" borderId="10" xfId="0" applyNumberFormat="1" applyFill="1" applyBorder="1" applyAlignment="1">
      <alignment vertical="center"/>
    </xf>
    <xf numFmtId="2" fontId="0" fillId="0" borderId="11" xfId="0" applyNumberFormat="1" applyBorder="1" applyAlignment="1">
      <alignment/>
    </xf>
    <xf numFmtId="3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0" fillId="0" borderId="14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left" vertical="center"/>
    </xf>
    <xf numFmtId="3" fontId="22" fillId="0" borderId="14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3" fontId="0" fillId="0" borderId="14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5" xfId="0" applyBorder="1" applyAlignment="1">
      <alignment horizontal="left"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3" fontId="5" fillId="0" borderId="14" xfId="0" applyNumberFormat="1" applyFont="1" applyFill="1" applyBorder="1" applyAlignment="1">
      <alignment/>
    </xf>
    <xf numFmtId="0" fontId="7" fillId="0" borderId="18" xfId="0" applyFont="1" applyBorder="1" applyAlignment="1" quotePrefix="1">
      <alignment horizontal="left" indent="1"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9" xfId="0" applyFont="1" applyBorder="1" applyAlignment="1" quotePrefix="1">
      <alignment horizontal="left" indent="1"/>
    </xf>
    <xf numFmtId="3" fontId="7" fillId="0" borderId="19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5" fillId="0" borderId="15" xfId="0" applyFont="1" applyBorder="1" applyAlignment="1">
      <alignment horizontal="left" wrapText="1"/>
    </xf>
    <xf numFmtId="3" fontId="5" fillId="0" borderId="15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3" fontId="0" fillId="26" borderId="0" xfId="0" applyNumberFormat="1" applyFill="1" applyAlignment="1">
      <alignment/>
    </xf>
    <xf numFmtId="0" fontId="23" fillId="0" borderId="0" xfId="0" applyFont="1" applyAlignment="1">
      <alignment/>
    </xf>
    <xf numFmtId="0" fontId="5" fillId="0" borderId="10" xfId="0" applyFont="1" applyBorder="1" applyAlignment="1">
      <alignment horizontal="left" inden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 indent="1"/>
    </xf>
    <xf numFmtId="0" fontId="27" fillId="0" borderId="0" xfId="0" applyFont="1" applyAlignment="1">
      <alignment/>
    </xf>
    <xf numFmtId="0" fontId="27" fillId="0" borderId="20" xfId="0" applyFont="1" applyBorder="1" applyAlignment="1">
      <alignment/>
    </xf>
    <xf numFmtId="0" fontId="28" fillId="0" borderId="0" xfId="0" applyFont="1" applyAlignment="1">
      <alignment/>
    </xf>
    <xf numFmtId="3" fontId="28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 inden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left" indent="2"/>
    </xf>
    <xf numFmtId="3" fontId="26" fillId="0" borderId="10" xfId="0" applyNumberFormat="1" applyFont="1" applyBorder="1" applyAlignment="1">
      <alignment horizontal="left" indent="4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indent="2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indent="2"/>
    </xf>
    <xf numFmtId="0" fontId="7" fillId="0" borderId="2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0" borderId="0" xfId="56">
      <alignment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0" xfId="56" applyFont="1" applyFill="1" applyBorder="1">
      <alignment/>
      <protection/>
    </xf>
    <xf numFmtId="0" fontId="31" fillId="0" borderId="0" xfId="56" applyFont="1">
      <alignment/>
      <protection/>
    </xf>
    <xf numFmtId="3" fontId="28" fillId="0" borderId="10" xfId="0" applyNumberFormat="1" applyFont="1" applyBorder="1" applyAlignment="1">
      <alignment/>
    </xf>
    <xf numFmtId="0" fontId="7" fillId="0" borderId="0" xfId="0" applyFont="1" applyFill="1" applyAlignment="1">
      <alignment horizontal="left" indent="2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5" xfId="0" applyFont="1" applyBorder="1" applyAlignment="1">
      <alignment horizontal="left"/>
    </xf>
    <xf numFmtId="3" fontId="14" fillId="0" borderId="0" xfId="0" applyNumberFormat="1" applyFont="1" applyAlignment="1">
      <alignment/>
    </xf>
    <xf numFmtId="3" fontId="10" fillId="24" borderId="0" xfId="0" applyNumberFormat="1" applyFont="1" applyFill="1" applyAlignment="1">
      <alignment/>
    </xf>
    <xf numFmtId="3" fontId="10" fillId="24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0" fillId="25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32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/>
    </xf>
    <xf numFmtId="0" fontId="3" fillId="25" borderId="0" xfId="0" applyFont="1" applyFill="1" applyAlignment="1">
      <alignment horizontal="left"/>
    </xf>
    <xf numFmtId="3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3" fontId="7" fillId="0" borderId="18" xfId="0" applyNumberFormat="1" applyFont="1" applyFill="1" applyBorder="1" applyAlignment="1">
      <alignment/>
    </xf>
    <xf numFmtId="0" fontId="0" fillId="0" borderId="10" xfId="0" applyFont="1" applyBorder="1" applyAlignment="1">
      <alignment horizontal="left" indent="2"/>
    </xf>
    <xf numFmtId="0" fontId="7" fillId="0" borderId="10" xfId="0" applyFont="1" applyBorder="1" applyAlignment="1">
      <alignment horizontal="left"/>
    </xf>
    <xf numFmtId="0" fontId="28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indent="1"/>
    </xf>
    <xf numFmtId="3" fontId="28" fillId="0" borderId="13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left" wrapText="1"/>
    </xf>
    <xf numFmtId="0" fontId="27" fillId="0" borderId="19" xfId="0" applyFont="1" applyBorder="1" applyAlignment="1">
      <alignment horizontal="left" wrapText="1" indent="1"/>
    </xf>
    <xf numFmtId="3" fontId="27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left"/>
    </xf>
    <xf numFmtId="3" fontId="13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3" fontId="7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3" fontId="3" fillId="25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12" fillId="18" borderId="0" xfId="0" applyFont="1" applyFill="1" applyAlignment="1">
      <alignment/>
    </xf>
    <xf numFmtId="0" fontId="12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12" fillId="6" borderId="0" xfId="0" applyFont="1" applyFill="1" applyAlignment="1">
      <alignment/>
    </xf>
    <xf numFmtId="0" fontId="12" fillId="14" borderId="0" xfId="0" applyFont="1" applyFill="1" applyAlignment="1">
      <alignment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/>
    </xf>
    <xf numFmtId="3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horizontal="left" vertical="center"/>
    </xf>
    <xf numFmtId="0" fontId="12" fillId="8" borderId="0" xfId="0" applyFont="1" applyFill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0" fontId="12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3" fontId="15" fillId="0" borderId="0" xfId="0" applyNumberFormat="1" applyFont="1" applyFill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0" fontId="4" fillId="26" borderId="0" xfId="0" applyFont="1" applyFill="1" applyAlignment="1">
      <alignment/>
    </xf>
    <xf numFmtId="0" fontId="4" fillId="0" borderId="0" xfId="0" applyFont="1" applyAlignment="1">
      <alignment/>
    </xf>
    <xf numFmtId="3" fontId="4" fillId="26" borderId="0" xfId="0" applyNumberFormat="1" applyFont="1" applyFill="1" applyAlignment="1">
      <alignment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56" applyNumberFormat="1" applyFont="1" applyFill="1" applyBorder="1" applyAlignment="1">
      <alignment horizontal="center"/>
      <protection/>
    </xf>
    <xf numFmtId="0" fontId="1" fillId="0" borderId="0" xfId="56" applyAlignment="1">
      <alignment horizontal="center"/>
      <protection/>
    </xf>
    <xf numFmtId="0" fontId="0" fillId="0" borderId="10" xfId="56" applyFont="1" applyBorder="1">
      <alignment/>
      <protection/>
    </xf>
    <xf numFmtId="0" fontId="0" fillId="0" borderId="10" xfId="56" applyFont="1" applyBorder="1" applyAlignment="1">
      <alignment horizontal="center"/>
      <protection/>
    </xf>
    <xf numFmtId="0" fontId="1" fillId="0" borderId="10" xfId="56" applyFont="1" applyBorder="1" applyAlignment="1">
      <alignment horizontal="center"/>
      <protection/>
    </xf>
    <xf numFmtId="3" fontId="12" fillId="26" borderId="0" xfId="0" applyNumberFormat="1" applyFont="1" applyFill="1" applyAlignment="1">
      <alignment vertical="center"/>
    </xf>
    <xf numFmtId="0" fontId="12" fillId="26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" fontId="3" fillId="24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3" fillId="25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3" fillId="27" borderId="10" xfId="0" applyFont="1" applyFill="1" applyBorder="1" applyAlignment="1">
      <alignment horizontal="left" vertical="center"/>
    </xf>
    <xf numFmtId="0" fontId="3" fillId="27" borderId="10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left" vertical="center"/>
    </xf>
    <xf numFmtId="3" fontId="3" fillId="27" borderId="10" xfId="0" applyNumberFormat="1" applyFont="1" applyFill="1" applyBorder="1" applyAlignment="1">
      <alignment vertical="center"/>
    </xf>
    <xf numFmtId="0" fontId="12" fillId="14" borderId="10" xfId="0" applyFont="1" applyFill="1" applyBorder="1" applyAlignment="1">
      <alignment vertical="center"/>
    </xf>
    <xf numFmtId="0" fontId="12" fillId="14" borderId="10" xfId="0" applyFont="1" applyFill="1" applyBorder="1" applyAlignment="1">
      <alignment horizontal="center" vertical="center"/>
    </xf>
    <xf numFmtId="3" fontId="12" fillId="14" borderId="10" xfId="0" applyNumberFormat="1" applyFont="1" applyFill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3" fontId="3" fillId="24" borderId="22" xfId="0" applyNumberFormat="1" applyFont="1" applyFill="1" applyBorder="1" applyAlignment="1">
      <alignment vertical="center"/>
    </xf>
    <xf numFmtId="3" fontId="3" fillId="24" borderId="23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3" fillId="24" borderId="22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3" fontId="3" fillId="24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24" borderId="2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3" fillId="25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3" fillId="24" borderId="22" xfId="0" applyNumberFormat="1" applyFont="1" applyFill="1" applyBorder="1" applyAlignment="1">
      <alignment/>
    </xf>
    <xf numFmtId="3" fontId="3" fillId="25" borderId="22" xfId="0" applyNumberFormat="1" applyFont="1" applyFill="1" applyBorder="1" applyAlignment="1">
      <alignment/>
    </xf>
    <xf numFmtId="0" fontId="3" fillId="27" borderId="24" xfId="0" applyFont="1" applyFill="1" applyBorder="1" applyAlignment="1">
      <alignment horizontal="left"/>
    </xf>
    <xf numFmtId="0" fontId="3" fillId="27" borderId="14" xfId="0" applyFont="1" applyFill="1" applyBorder="1" applyAlignment="1">
      <alignment horizontal="left"/>
    </xf>
    <xf numFmtId="3" fontId="3" fillId="27" borderId="17" xfId="0" applyNumberFormat="1" applyFont="1" applyFill="1" applyBorder="1" applyAlignment="1">
      <alignment/>
    </xf>
    <xf numFmtId="0" fontId="0" fillId="27" borderId="0" xfId="0" applyFill="1" applyAlignment="1">
      <alignment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3" fillId="24" borderId="22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3" fillId="24" borderId="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3" fontId="3" fillId="24" borderId="23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11" xfId="0" applyFont="1" applyBorder="1" applyAlignment="1">
      <alignment/>
    </xf>
    <xf numFmtId="3" fontId="39" fillId="0" borderId="11" xfId="0" applyNumberFormat="1" applyFont="1" applyBorder="1" applyAlignment="1">
      <alignment/>
    </xf>
    <xf numFmtId="3" fontId="10" fillId="24" borderId="22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left" indent="2"/>
    </xf>
    <xf numFmtId="3" fontId="12" fillId="0" borderId="15" xfId="0" applyNumberFormat="1" applyFont="1" applyBorder="1" applyAlignment="1">
      <alignment horizontal="left" indent="2"/>
    </xf>
    <xf numFmtId="3" fontId="12" fillId="0" borderId="15" xfId="0" applyNumberFormat="1" applyFont="1" applyBorder="1" applyAlignment="1">
      <alignment/>
    </xf>
    <xf numFmtId="3" fontId="3" fillId="24" borderId="22" xfId="0" applyNumberFormat="1" applyFont="1" applyFill="1" applyBorder="1" applyAlignment="1">
      <alignment/>
    </xf>
    <xf numFmtId="3" fontId="3" fillId="25" borderId="22" xfId="0" applyNumberFormat="1" applyFont="1" applyFill="1" applyBorder="1" applyAlignment="1">
      <alignment/>
    </xf>
    <xf numFmtId="0" fontId="5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3" fontId="0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0" fillId="0" borderId="14" xfId="0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3" fontId="12" fillId="27" borderId="10" xfId="0" applyNumberFormat="1" applyFont="1" applyFill="1" applyBorder="1" applyAlignment="1">
      <alignment/>
    </xf>
    <xf numFmtId="0" fontId="3" fillId="24" borderId="25" xfId="0" applyFont="1" applyFill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1" fillId="0" borderId="10" xfId="56" applyBorder="1">
      <alignment/>
      <protection/>
    </xf>
    <xf numFmtId="0" fontId="1" fillId="0" borderId="10" xfId="56" applyBorder="1" applyAlignment="1">
      <alignment horizontal="center"/>
      <protection/>
    </xf>
    <xf numFmtId="0" fontId="31" fillId="0" borderId="10" xfId="56" applyFont="1" applyBorder="1">
      <alignment/>
      <protection/>
    </xf>
    <xf numFmtId="14" fontId="1" fillId="0" borderId="10" xfId="56" applyNumberFormat="1" applyFont="1" applyBorder="1">
      <alignment/>
      <protection/>
    </xf>
    <xf numFmtId="0" fontId="1" fillId="0" borderId="10" xfId="56" applyFont="1" applyBorder="1">
      <alignment/>
      <protection/>
    </xf>
    <xf numFmtId="0" fontId="40" fillId="0" borderId="10" xfId="56" applyFont="1" applyBorder="1">
      <alignment/>
      <protection/>
    </xf>
    <xf numFmtId="0" fontId="40" fillId="0" borderId="0" xfId="56" applyFont="1">
      <alignment/>
      <protection/>
    </xf>
    <xf numFmtId="0" fontId="1" fillId="0" borderId="0" xfId="56" applyAlignment="1">
      <alignment horizontal="right"/>
      <protection/>
    </xf>
    <xf numFmtId="3" fontId="1" fillId="0" borderId="10" xfId="56" applyNumberFormat="1" applyBorder="1" applyAlignment="1">
      <alignment horizontal="right"/>
      <protection/>
    </xf>
    <xf numFmtId="3" fontId="0" fillId="0" borderId="10" xfId="56" applyNumberFormat="1" applyFont="1" applyFill="1" applyBorder="1" applyAlignment="1">
      <alignment/>
      <protection/>
    </xf>
    <xf numFmtId="0" fontId="1" fillId="0" borderId="10" xfId="56" applyFont="1" applyBorder="1" applyAlignment="1">
      <alignment horizontal="center"/>
      <protection/>
    </xf>
    <xf numFmtId="3" fontId="1" fillId="0" borderId="10" xfId="56" applyNumberFormat="1" applyBorder="1" applyAlignment="1">
      <alignment/>
      <protection/>
    </xf>
    <xf numFmtId="3" fontId="0" fillId="0" borderId="10" xfId="56" applyNumberFormat="1" applyFont="1" applyBorder="1" applyAlignment="1">
      <alignment/>
      <protection/>
    </xf>
    <xf numFmtId="3" fontId="1" fillId="0" borderId="10" xfId="56" applyNumberFormat="1" applyFont="1" applyBorder="1" applyAlignment="1">
      <alignment/>
      <protection/>
    </xf>
    <xf numFmtId="3" fontId="40" fillId="0" borderId="10" xfId="56" applyNumberFormat="1" applyFont="1" applyBorder="1" applyAlignment="1">
      <alignment/>
      <protection/>
    </xf>
    <xf numFmtId="3" fontId="5" fillId="0" borderId="10" xfId="56" applyNumberFormat="1" applyFont="1" applyFill="1" applyBorder="1" applyAlignment="1">
      <alignment horizontal="right"/>
      <protection/>
    </xf>
    <xf numFmtId="3" fontId="5" fillId="0" borderId="10" xfId="56" applyNumberFormat="1" applyFont="1" applyFill="1" applyBorder="1" applyAlignment="1">
      <alignment/>
      <protection/>
    </xf>
    <xf numFmtId="3" fontId="5" fillId="0" borderId="10" xfId="56" applyNumberFormat="1" applyFont="1" applyBorder="1" applyAlignment="1">
      <alignment/>
      <protection/>
    </xf>
    <xf numFmtId="0" fontId="1" fillId="0" borderId="10" xfId="56" applyFont="1" applyBorder="1" applyAlignment="1">
      <alignment horizontal="center"/>
      <protection/>
    </xf>
    <xf numFmtId="0" fontId="5" fillId="0" borderId="10" xfId="56" applyFont="1" applyFill="1" applyBorder="1">
      <alignment/>
      <protection/>
    </xf>
    <xf numFmtId="3" fontId="32" fillId="0" borderId="10" xfId="0" applyNumberFormat="1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3" fillId="2" borderId="10" xfId="0" applyFont="1" applyFill="1" applyBorder="1" applyAlignment="1">
      <alignment horizontal="left"/>
    </xf>
    <xf numFmtId="0" fontId="32" fillId="0" borderId="12" xfId="0" applyFont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27" borderId="20" xfId="0" applyFont="1" applyFill="1" applyBorder="1" applyAlignment="1">
      <alignment vertical="center"/>
    </xf>
    <xf numFmtId="3" fontId="3" fillId="24" borderId="26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9" fontId="1" fillId="0" borderId="10" xfId="56" applyNumberFormat="1" applyFont="1" applyBorder="1" applyAlignment="1">
      <alignment horizontal="center"/>
      <protection/>
    </xf>
    <xf numFmtId="49" fontId="0" fillId="0" borderId="10" xfId="56" applyNumberFormat="1" applyFont="1" applyFill="1" applyBorder="1" applyAlignment="1">
      <alignment horizontal="center"/>
      <protection/>
    </xf>
    <xf numFmtId="49" fontId="1" fillId="0" borderId="10" xfId="56" applyNumberFormat="1" applyFont="1" applyBorder="1" applyAlignment="1">
      <alignment horizontal="center"/>
      <protection/>
    </xf>
    <xf numFmtId="49" fontId="1" fillId="0" borderId="10" xfId="56" applyNumberFormat="1" applyBorder="1" applyAlignment="1">
      <alignment horizontal="center"/>
      <protection/>
    </xf>
    <xf numFmtId="49" fontId="1" fillId="0" borderId="10" xfId="56" applyNumberFormat="1" applyFont="1" applyBorder="1" applyAlignment="1">
      <alignment horizontal="center"/>
      <protection/>
    </xf>
    <xf numFmtId="49" fontId="1" fillId="0" borderId="0" xfId="56" applyNumberFormat="1" applyAlignment="1">
      <alignment horizontal="center"/>
      <protection/>
    </xf>
    <xf numFmtId="0" fontId="41" fillId="0" borderId="10" xfId="56" applyFont="1" applyBorder="1">
      <alignment/>
      <protection/>
    </xf>
    <xf numFmtId="0" fontId="1" fillId="0" borderId="10" xfId="56" applyFont="1" applyBorder="1">
      <alignment/>
      <protection/>
    </xf>
    <xf numFmtId="0" fontId="1" fillId="0" borderId="10" xfId="56" applyBorder="1" applyAlignment="1">
      <alignment horizontal="right"/>
      <protection/>
    </xf>
    <xf numFmtId="3" fontId="40" fillId="0" borderId="10" xfId="56" applyNumberFormat="1" applyFont="1" applyBorder="1" applyAlignment="1">
      <alignment horizontal="right"/>
      <protection/>
    </xf>
    <xf numFmtId="0" fontId="40" fillId="0" borderId="0" xfId="56" applyFont="1" applyAlignment="1">
      <alignment horizont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42" fillId="0" borderId="10" xfId="56" applyFont="1" applyBorder="1">
      <alignment/>
      <protection/>
    </xf>
    <xf numFmtId="0" fontId="5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3" fontId="3" fillId="24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3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12" borderId="10" xfId="0" applyFont="1" applyFill="1" applyBorder="1" applyAlignment="1">
      <alignment/>
    </xf>
    <xf numFmtId="3" fontId="3" fillId="1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27" borderId="10" xfId="0" applyNumberFormat="1" applyFont="1" applyFill="1" applyBorder="1" applyAlignment="1">
      <alignment horizontal="left" vertical="center"/>
    </xf>
    <xf numFmtId="3" fontId="12" fillId="27" borderId="10" xfId="0" applyNumberFormat="1" applyFont="1" applyFill="1" applyBorder="1" applyAlignment="1">
      <alignment vertical="center"/>
    </xf>
    <xf numFmtId="3" fontId="12" fillId="27" borderId="10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0" fontId="5" fillId="0" borderId="34" xfId="0" applyFont="1" applyBorder="1" applyAlignment="1">
      <alignment/>
    </xf>
    <xf numFmtId="2" fontId="5" fillId="0" borderId="35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2" fillId="0" borderId="10" xfId="56" applyFont="1" applyBorder="1" applyAlignment="1">
      <alignment horizontal="center"/>
      <protection/>
    </xf>
    <xf numFmtId="49" fontId="42" fillId="0" borderId="10" xfId="56" applyNumberFormat="1" applyFont="1" applyBorder="1" applyAlignment="1">
      <alignment horizontal="center"/>
      <protection/>
    </xf>
    <xf numFmtId="3" fontId="5" fillId="0" borderId="10" xfId="56" applyNumberFormat="1" applyFont="1" applyFill="1" applyBorder="1" applyAlignment="1">
      <alignment horizontal="center"/>
      <protection/>
    </xf>
    <xf numFmtId="0" fontId="3" fillId="27" borderId="0" xfId="0" applyFont="1" applyFill="1" applyAlignment="1">
      <alignment horizontal="left"/>
    </xf>
    <xf numFmtId="0" fontId="3" fillId="27" borderId="0" xfId="0" applyFont="1" applyFill="1" applyAlignment="1">
      <alignment horizontal="left"/>
    </xf>
    <xf numFmtId="3" fontId="3" fillId="27" borderId="0" xfId="0" applyNumberFormat="1" applyFont="1" applyFill="1" applyAlignment="1">
      <alignment/>
    </xf>
    <xf numFmtId="0" fontId="12" fillId="27" borderId="0" xfId="0" applyFont="1" applyFill="1" applyAlignment="1">
      <alignment/>
    </xf>
    <xf numFmtId="0" fontId="0" fillId="0" borderId="36" xfId="0" applyFont="1" applyBorder="1" applyAlignment="1">
      <alignment/>
    </xf>
    <xf numFmtId="3" fontId="0" fillId="0" borderId="37" xfId="0" applyNumberFormat="1" applyBorder="1" applyAlignment="1">
      <alignment vertical="center"/>
    </xf>
    <xf numFmtId="0" fontId="40" fillId="26" borderId="10" xfId="56" applyFont="1" applyFill="1" applyBorder="1">
      <alignment/>
      <protection/>
    </xf>
    <xf numFmtId="0" fontId="1" fillId="26" borderId="10" xfId="56" applyFont="1" applyFill="1" applyBorder="1" applyAlignment="1">
      <alignment horizontal="center"/>
      <protection/>
    </xf>
    <xf numFmtId="49" fontId="1" fillId="26" borderId="10" xfId="56" applyNumberFormat="1" applyFont="1" applyFill="1" applyBorder="1" applyAlignment="1">
      <alignment horizontal="center"/>
      <protection/>
    </xf>
    <xf numFmtId="3" fontId="1" fillId="26" borderId="10" xfId="56" applyNumberFormat="1" applyFill="1" applyBorder="1" applyAlignment="1">
      <alignment/>
      <protection/>
    </xf>
    <xf numFmtId="3" fontId="5" fillId="26" borderId="10" xfId="56" applyNumberFormat="1" applyFont="1" applyFill="1" applyBorder="1" applyAlignment="1">
      <alignment/>
      <protection/>
    </xf>
    <xf numFmtId="3" fontId="40" fillId="26" borderId="10" xfId="56" applyNumberFormat="1" applyFont="1" applyFill="1" applyBorder="1" applyAlignment="1">
      <alignment/>
      <protection/>
    </xf>
    <xf numFmtId="0" fontId="1" fillId="26" borderId="10" xfId="56" applyFill="1" applyBorder="1">
      <alignment/>
      <protection/>
    </xf>
    <xf numFmtId="0" fontId="1" fillId="26" borderId="0" xfId="56" applyFill="1">
      <alignment/>
      <protection/>
    </xf>
    <xf numFmtId="3" fontId="11" fillId="0" borderId="10" xfId="0" applyNumberFormat="1" applyFont="1" applyBorder="1" applyAlignment="1">
      <alignment horizontal="right"/>
    </xf>
    <xf numFmtId="0" fontId="11" fillId="0" borderId="10" xfId="0" applyFont="1" applyFill="1" applyBorder="1" applyAlignment="1">
      <alignment/>
    </xf>
    <xf numFmtId="0" fontId="31" fillId="3" borderId="10" xfId="56" applyFont="1" applyFill="1" applyBorder="1">
      <alignment/>
      <protection/>
    </xf>
    <xf numFmtId="3" fontId="31" fillId="3" borderId="10" xfId="56" applyNumberFormat="1" applyFont="1" applyFill="1" applyBorder="1" applyAlignment="1">
      <alignment horizontal="center"/>
      <protection/>
    </xf>
    <xf numFmtId="3" fontId="31" fillId="3" borderId="10" xfId="56" applyNumberFormat="1" applyFont="1" applyFill="1" applyBorder="1" applyAlignment="1">
      <alignment/>
      <protection/>
    </xf>
    <xf numFmtId="3" fontId="5" fillId="3" borderId="10" xfId="56" applyNumberFormat="1" applyFont="1" applyFill="1" applyBorder="1" applyAlignment="1">
      <alignment/>
      <protection/>
    </xf>
    <xf numFmtId="3" fontId="0" fillId="3" borderId="10" xfId="56" applyNumberFormat="1" applyFont="1" applyFill="1" applyBorder="1" applyAlignment="1">
      <alignment/>
      <protection/>
    </xf>
    <xf numFmtId="0" fontId="1" fillId="3" borderId="10" xfId="56" applyFill="1" applyBorder="1">
      <alignment/>
      <protection/>
    </xf>
    <xf numFmtId="0" fontId="1" fillId="3" borderId="0" xfId="56" applyFill="1">
      <alignment/>
      <protection/>
    </xf>
    <xf numFmtId="0" fontId="1" fillId="3" borderId="10" xfId="56" applyFont="1" applyFill="1" applyBorder="1">
      <alignment/>
      <protection/>
    </xf>
    <xf numFmtId="0" fontId="1" fillId="3" borderId="10" xfId="56" applyFont="1" applyFill="1" applyBorder="1" applyAlignment="1">
      <alignment horizontal="center"/>
      <protection/>
    </xf>
    <xf numFmtId="3" fontId="1" fillId="3" borderId="10" xfId="56" applyNumberFormat="1" applyFont="1" applyFill="1" applyBorder="1" applyAlignment="1">
      <alignment/>
      <protection/>
    </xf>
    <xf numFmtId="3" fontId="40" fillId="3" borderId="10" xfId="56" applyNumberFormat="1" applyFont="1" applyFill="1" applyBorder="1" applyAlignment="1">
      <alignment/>
      <protection/>
    </xf>
    <xf numFmtId="0" fontId="0" fillId="3" borderId="10" xfId="56" applyFont="1" applyFill="1" applyBorder="1" applyAlignment="1">
      <alignment horizontal="left"/>
      <protection/>
    </xf>
    <xf numFmtId="3" fontId="0" fillId="3" borderId="10" xfId="56" applyNumberFormat="1" applyFont="1" applyFill="1" applyBorder="1" applyAlignment="1">
      <alignment horizontal="center"/>
      <protection/>
    </xf>
    <xf numFmtId="0" fontId="1" fillId="3" borderId="10" xfId="56" applyFont="1" applyFill="1" applyBorder="1">
      <alignment/>
      <protection/>
    </xf>
    <xf numFmtId="3" fontId="12" fillId="26" borderId="10" xfId="0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right"/>
    </xf>
    <xf numFmtId="3" fontId="12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27" borderId="10" xfId="0" applyFont="1" applyFill="1" applyBorder="1" applyAlignment="1">
      <alignment horizontal="left"/>
    </xf>
    <xf numFmtId="3" fontId="0" fillId="27" borderId="10" xfId="0" applyNumberFormat="1" applyFont="1" applyFill="1" applyBorder="1" applyAlignment="1">
      <alignment/>
    </xf>
    <xf numFmtId="0" fontId="0" fillId="27" borderId="10" xfId="0" applyFont="1" applyFill="1" applyBorder="1" applyAlignment="1">
      <alignment horizontal="right"/>
    </xf>
    <xf numFmtId="3" fontId="0" fillId="27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0" fontId="0" fillId="27" borderId="10" xfId="0" applyFont="1" applyFill="1" applyBorder="1" applyAlignment="1">
      <alignment horizontal="left" vertical="center"/>
    </xf>
    <xf numFmtId="3" fontId="0" fillId="27" borderId="10" xfId="0" applyNumberFormat="1" applyFont="1" applyFill="1" applyBorder="1" applyAlignment="1">
      <alignment horizontal="left" vertical="center"/>
    </xf>
    <xf numFmtId="3" fontId="0" fillId="27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" fontId="0" fillId="27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0" fillId="27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10" xfId="0" applyFont="1" applyBorder="1" applyAlignment="1">
      <alignment horizontal="left" vertical="center" indent="1"/>
    </xf>
    <xf numFmtId="3" fontId="0" fillId="0" borderId="20" xfId="56" applyNumberFormat="1" applyFont="1" applyFill="1" applyBorder="1" applyAlignment="1">
      <alignment/>
      <protection/>
    </xf>
    <xf numFmtId="3" fontId="1" fillId="0" borderId="20" xfId="56" applyNumberFormat="1" applyBorder="1" applyAlignment="1">
      <alignment/>
      <protection/>
    </xf>
    <xf numFmtId="3" fontId="31" fillId="3" borderId="20" xfId="56" applyNumberFormat="1" applyFont="1" applyFill="1" applyBorder="1" applyAlignment="1">
      <alignment/>
      <protection/>
    </xf>
    <xf numFmtId="3" fontId="1" fillId="3" borderId="20" xfId="56" applyNumberFormat="1" applyFont="1" applyFill="1" applyBorder="1" applyAlignment="1">
      <alignment/>
      <protection/>
    </xf>
    <xf numFmtId="3" fontId="0" fillId="3" borderId="20" xfId="56" applyNumberFormat="1" applyFont="1" applyFill="1" applyBorder="1" applyAlignment="1">
      <alignment/>
      <protection/>
    </xf>
    <xf numFmtId="3" fontId="1" fillId="0" borderId="20" xfId="56" applyNumberFormat="1" applyFont="1" applyBorder="1" applyAlignment="1">
      <alignment/>
      <protection/>
    </xf>
    <xf numFmtId="3" fontId="0" fillId="0" borderId="20" xfId="56" applyNumberFormat="1" applyFont="1" applyBorder="1" applyAlignment="1">
      <alignment/>
      <protection/>
    </xf>
    <xf numFmtId="3" fontId="1" fillId="26" borderId="20" xfId="56" applyNumberFormat="1" applyFill="1" applyBorder="1" applyAlignment="1">
      <alignment/>
      <protection/>
    </xf>
    <xf numFmtId="3" fontId="1" fillId="0" borderId="20" xfId="56" applyNumberFormat="1" applyBorder="1" applyAlignment="1">
      <alignment horizontal="right"/>
      <protection/>
    </xf>
    <xf numFmtId="0" fontId="1" fillId="0" borderId="13" xfId="56" applyBorder="1">
      <alignment/>
      <protection/>
    </xf>
    <xf numFmtId="0" fontId="31" fillId="0" borderId="13" xfId="56" applyFont="1" applyBorder="1">
      <alignment/>
      <protection/>
    </xf>
    <xf numFmtId="0" fontId="42" fillId="0" borderId="13" xfId="56" applyFont="1" applyBorder="1">
      <alignment/>
      <protection/>
    </xf>
    <xf numFmtId="3" fontId="5" fillId="0" borderId="11" xfId="56" applyNumberFormat="1" applyFont="1" applyFill="1" applyBorder="1" applyAlignment="1">
      <alignment horizontal="center"/>
      <protection/>
    </xf>
    <xf numFmtId="3" fontId="5" fillId="0" borderId="38" xfId="56" applyNumberFormat="1" applyFont="1" applyFill="1" applyBorder="1" applyAlignment="1">
      <alignment/>
      <protection/>
    </xf>
    <xf numFmtId="3" fontId="5" fillId="0" borderId="39" xfId="56" applyNumberFormat="1" applyFont="1" applyFill="1" applyBorder="1" applyAlignment="1">
      <alignment/>
      <protection/>
    </xf>
    <xf numFmtId="3" fontId="5" fillId="0" borderId="40" xfId="56" applyNumberFormat="1" applyFont="1" applyFill="1" applyBorder="1" applyAlignment="1">
      <alignment/>
      <protection/>
    </xf>
    <xf numFmtId="2" fontId="0" fillId="0" borderId="11" xfId="0" applyNumberFormat="1" applyFon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1" fillId="0" borderId="0" xfId="56" applyFont="1" applyAlignment="1">
      <alignment horizontal="right"/>
      <protection/>
    </xf>
    <xf numFmtId="3" fontId="1" fillId="0" borderId="0" xfId="56" applyNumberFormat="1" applyAlignment="1">
      <alignment horizontal="center"/>
      <protection/>
    </xf>
    <xf numFmtId="0" fontId="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3" fontId="3" fillId="0" borderId="22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33" fillId="0" borderId="42" xfId="0" applyNumberFormat="1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3" fontId="12" fillId="0" borderId="49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12" fillId="0" borderId="48" xfId="0" applyFont="1" applyBorder="1" applyAlignment="1">
      <alignment vertical="center" wrapText="1"/>
    </xf>
    <xf numFmtId="0" fontId="12" fillId="0" borderId="50" xfId="0" applyFont="1" applyBorder="1" applyAlignment="1">
      <alignment vertical="center"/>
    </xf>
    <xf numFmtId="3" fontId="12" fillId="0" borderId="51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3" fontId="34" fillId="0" borderId="35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3" fillId="1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3" borderId="10" xfId="56" applyFont="1" applyFill="1" applyBorder="1">
      <alignment/>
      <protection/>
    </xf>
    <xf numFmtId="3" fontId="5" fillId="3" borderId="39" xfId="56" applyNumberFormat="1" applyFont="1" applyFill="1" applyBorder="1" applyAlignment="1">
      <alignment/>
      <protection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3" fontId="5" fillId="26" borderId="39" xfId="56" applyNumberFormat="1" applyFont="1" applyFill="1" applyBorder="1" applyAlignment="1">
      <alignment/>
      <protection/>
    </xf>
    <xf numFmtId="0" fontId="12" fillId="6" borderId="10" xfId="0" applyFont="1" applyFill="1" applyBorder="1" applyAlignment="1">
      <alignment horizontal="left"/>
    </xf>
    <xf numFmtId="3" fontId="10" fillId="24" borderId="10" xfId="0" applyNumberFormat="1" applyFont="1" applyFill="1" applyBorder="1" applyAlignment="1">
      <alignment/>
    </xf>
    <xf numFmtId="0" fontId="12" fillId="6" borderId="10" xfId="0" applyFont="1" applyFill="1" applyBorder="1" applyAlignment="1">
      <alignment horizontal="center"/>
    </xf>
    <xf numFmtId="3" fontId="12" fillId="6" borderId="10" xfId="0" applyNumberFormat="1" applyFont="1" applyFill="1" applyBorder="1" applyAlignment="1">
      <alignment/>
    </xf>
    <xf numFmtId="3" fontId="12" fillId="6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indent="4"/>
    </xf>
    <xf numFmtId="3" fontId="7" fillId="27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7" fillId="27" borderId="1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vertical="center"/>
    </xf>
    <xf numFmtId="0" fontId="5" fillId="0" borderId="3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" fontId="0" fillId="0" borderId="15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0" fontId="0" fillId="0" borderId="41" xfId="0" applyFont="1" applyBorder="1" applyAlignment="1">
      <alignment horizontal="left" wrapText="1" indent="2"/>
    </xf>
    <xf numFmtId="0" fontId="0" fillId="0" borderId="53" xfId="0" applyFont="1" applyBorder="1" applyAlignment="1">
      <alignment horizontal="left" wrapText="1" indent="2"/>
    </xf>
    <xf numFmtId="0" fontId="5" fillId="0" borderId="5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4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 indent="2"/>
    </xf>
    <xf numFmtId="0" fontId="7" fillId="0" borderId="10" xfId="0" applyFont="1" applyBorder="1" applyAlignment="1">
      <alignment horizontal="left" vertical="center" wrapText="1" indent="2"/>
    </xf>
    <xf numFmtId="3" fontId="0" fillId="0" borderId="1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27" borderId="53" xfId="0" applyFont="1" applyFill="1" applyBorder="1" applyAlignment="1">
      <alignment vertical="center" wrapText="1"/>
    </xf>
    <xf numFmtId="0" fontId="0" fillId="27" borderId="39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0" fillId="26" borderId="0" xfId="0" applyFill="1" applyAlignment="1">
      <alignment/>
    </xf>
    <xf numFmtId="0" fontId="7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wrapText="1" inden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27" borderId="10" xfId="0" applyFont="1" applyFill="1" applyBorder="1" applyAlignment="1">
      <alignment horizontal="left" indent="3"/>
    </xf>
    <xf numFmtId="3" fontId="7" fillId="27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indent="2"/>
    </xf>
    <xf numFmtId="0" fontId="7" fillId="0" borderId="0" xfId="0" applyFont="1" applyBorder="1" applyAlignment="1">
      <alignment horizontal="left" indent="1"/>
    </xf>
    <xf numFmtId="0" fontId="13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indent="2"/>
    </xf>
    <xf numFmtId="0" fontId="12" fillId="0" borderId="10" xfId="0" applyFont="1" applyFill="1" applyBorder="1" applyAlignment="1">
      <alignment horizontal="left" vertical="center" wrapText="1" indent="2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2"/>
    </xf>
    <xf numFmtId="0" fontId="12" fillId="27" borderId="10" xfId="0" applyFont="1" applyFill="1" applyBorder="1" applyAlignment="1">
      <alignment horizontal="left" vertical="center" indent="4"/>
    </xf>
    <xf numFmtId="0" fontId="12" fillId="0" borderId="10" xfId="0" applyFont="1" applyBorder="1" applyAlignment="1">
      <alignment horizontal="left" vertical="center" indent="4"/>
    </xf>
    <xf numFmtId="0" fontId="12" fillId="0" borderId="10" xfId="0" applyFont="1" applyFill="1" applyBorder="1" applyAlignment="1">
      <alignment horizontal="left" vertical="center" indent="3"/>
    </xf>
    <xf numFmtId="0" fontId="13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indent="3"/>
    </xf>
    <xf numFmtId="0" fontId="7" fillId="0" borderId="10" xfId="0" applyFont="1" applyBorder="1" applyAlignment="1">
      <alignment horizontal="left" indent="2"/>
    </xf>
    <xf numFmtId="3" fontId="3" fillId="0" borderId="10" xfId="0" applyNumberFormat="1" applyFont="1" applyFill="1" applyBorder="1" applyAlignment="1">
      <alignment/>
    </xf>
    <xf numFmtId="2" fontId="22" fillId="0" borderId="14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wrapText="1"/>
    </xf>
    <xf numFmtId="4" fontId="18" fillId="0" borderId="10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0" fontId="12" fillId="0" borderId="55" xfId="0" applyFont="1" applyBorder="1" applyAlignment="1">
      <alignment/>
    </xf>
    <xf numFmtId="0" fontId="13" fillId="0" borderId="44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1" fillId="0" borderId="10" xfId="56" applyFont="1" applyBorder="1">
      <alignment/>
      <protection/>
    </xf>
    <xf numFmtId="0" fontId="1" fillId="3" borderId="10" xfId="56" applyFont="1" applyFill="1" applyBorder="1">
      <alignment/>
      <protection/>
    </xf>
    <xf numFmtId="3" fontId="1" fillId="0" borderId="10" xfId="56" applyNumberFormat="1" applyFont="1" applyBorder="1">
      <alignment/>
      <protection/>
    </xf>
    <xf numFmtId="0" fontId="1" fillId="0" borderId="10" xfId="56" applyFont="1" applyFill="1" applyBorder="1">
      <alignment/>
      <protection/>
    </xf>
    <xf numFmtId="3" fontId="40" fillId="0" borderId="10" xfId="56" applyNumberFormat="1" applyFont="1" applyFill="1" applyBorder="1" applyAlignment="1">
      <alignment/>
      <protection/>
    </xf>
    <xf numFmtId="0" fontId="1" fillId="0" borderId="13" xfId="56" applyFill="1" applyBorder="1">
      <alignment/>
      <protection/>
    </xf>
    <xf numFmtId="0" fontId="1" fillId="0" borderId="10" xfId="56" applyFill="1" applyBorder="1">
      <alignment/>
      <protection/>
    </xf>
    <xf numFmtId="49" fontId="1" fillId="0" borderId="10" xfId="56" applyNumberFormat="1" applyFont="1" applyBorder="1" applyAlignment="1">
      <alignment horizontal="center"/>
      <protection/>
    </xf>
    <xf numFmtId="3" fontId="1" fillId="0" borderId="10" xfId="56" applyNumberFormat="1" applyBorder="1" applyAlignment="1">
      <alignment horizontal="center"/>
      <protection/>
    </xf>
    <xf numFmtId="0" fontId="1" fillId="0" borderId="0" xfId="56" applyFont="1">
      <alignment/>
      <protection/>
    </xf>
    <xf numFmtId="3" fontId="1" fillId="0" borderId="13" xfId="56" applyNumberFormat="1" applyBorder="1">
      <alignment/>
      <protection/>
    </xf>
    <xf numFmtId="3" fontId="0" fillId="0" borderId="0" xfId="56" applyNumberFormat="1" applyFont="1" applyFill="1" applyAlignment="1">
      <alignment/>
      <protection/>
    </xf>
    <xf numFmtId="1" fontId="0" fillId="3" borderId="10" xfId="56" applyNumberFormat="1" applyFont="1" applyFill="1" applyBorder="1" applyAlignment="1">
      <alignment horizontal="center"/>
      <protection/>
    </xf>
    <xf numFmtId="1" fontId="0" fillId="0" borderId="10" xfId="56" applyNumberFormat="1" applyFont="1" applyFill="1" applyBorder="1" applyAlignment="1">
      <alignment horizont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0" fillId="0" borderId="10" xfId="56" applyNumberFormat="1" applyFont="1" applyFill="1" applyBorder="1" applyAlignment="1">
      <alignment horizontal="center"/>
      <protection/>
    </xf>
    <xf numFmtId="0" fontId="1" fillId="3" borderId="10" xfId="56" applyNumberFormat="1" applyFont="1" applyFill="1" applyBorder="1" applyAlignment="1">
      <alignment horizontal="center"/>
      <protection/>
    </xf>
    <xf numFmtId="0" fontId="0" fillId="0" borderId="10" xfId="56" applyNumberFormat="1" applyFont="1" applyBorder="1" applyAlignment="1">
      <alignment horizontal="center"/>
      <protection/>
    </xf>
    <xf numFmtId="0" fontId="0" fillId="3" borderId="10" xfId="56" applyNumberFormat="1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0" fontId="1" fillId="0" borderId="10" xfId="56" applyNumberFormat="1" applyFont="1" applyFill="1" applyBorder="1" applyAlignment="1">
      <alignment horizontal="center"/>
      <protection/>
    </xf>
    <xf numFmtId="3" fontId="1" fillId="0" borderId="10" xfId="56" applyNumberFormat="1" applyFont="1" applyFill="1" applyBorder="1" applyAlignment="1">
      <alignment/>
      <protection/>
    </xf>
    <xf numFmtId="0" fontId="31" fillId="0" borderId="10" xfId="56" applyFont="1" applyFill="1" applyBorder="1">
      <alignment/>
      <protection/>
    </xf>
    <xf numFmtId="3" fontId="31" fillId="0" borderId="10" xfId="56" applyNumberFormat="1" applyFont="1" applyFill="1" applyBorder="1" applyAlignment="1">
      <alignment horizontal="center"/>
      <protection/>
    </xf>
    <xf numFmtId="3" fontId="31" fillId="0" borderId="10" xfId="56" applyNumberFormat="1" applyFont="1" applyFill="1" applyBorder="1" applyAlignment="1">
      <alignment/>
      <protection/>
    </xf>
    <xf numFmtId="3" fontId="0" fillId="0" borderId="38" xfId="56" applyNumberFormat="1" applyFont="1" applyFill="1" applyBorder="1" applyAlignment="1">
      <alignment/>
      <protection/>
    </xf>
    <xf numFmtId="3" fontId="0" fillId="0" borderId="39" xfId="56" applyNumberFormat="1" applyFont="1" applyFill="1" applyBorder="1" applyAlignment="1">
      <alignment/>
      <protection/>
    </xf>
    <xf numFmtId="3" fontId="5" fillId="0" borderId="20" xfId="56" applyNumberFormat="1" applyFont="1" applyFill="1" applyBorder="1" applyAlignment="1">
      <alignment/>
      <protection/>
    </xf>
    <xf numFmtId="3" fontId="1" fillId="0" borderId="20" xfId="56" applyNumberFormat="1" applyFont="1" applyFill="1" applyBorder="1" applyAlignment="1">
      <alignment/>
      <protection/>
    </xf>
    <xf numFmtId="3" fontId="31" fillId="0" borderId="20" xfId="56" applyNumberFormat="1" applyFont="1" applyFill="1" applyBorder="1" applyAlignment="1">
      <alignment/>
      <protection/>
    </xf>
    <xf numFmtId="3" fontId="5" fillId="24" borderId="10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0" fontId="1" fillId="0" borderId="0" xfId="56" applyFill="1">
      <alignment/>
      <protection/>
    </xf>
    <xf numFmtId="0" fontId="1" fillId="0" borderId="10" xfId="56" applyFont="1" applyFill="1" applyBorder="1">
      <alignment/>
      <protection/>
    </xf>
    <xf numFmtId="3" fontId="1" fillId="0" borderId="10" xfId="56" applyNumberFormat="1" applyFont="1" applyFill="1" applyBorder="1">
      <alignment/>
      <protection/>
    </xf>
    <xf numFmtId="0" fontId="1" fillId="0" borderId="10" xfId="56" applyFont="1" applyFill="1" applyBorder="1">
      <alignment/>
      <protection/>
    </xf>
    <xf numFmtId="3" fontId="0" fillId="0" borderId="0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40" fillId="0" borderId="10" xfId="56" applyFont="1" applyFill="1" applyBorder="1">
      <alignment/>
      <protection/>
    </xf>
    <xf numFmtId="0" fontId="1" fillId="0" borderId="10" xfId="56" applyFill="1" applyBorder="1" applyAlignment="1">
      <alignment horizontal="center"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1" fillId="0" borderId="10" xfId="56" applyNumberFormat="1" applyFill="1" applyBorder="1" applyAlignment="1">
      <alignment/>
      <protection/>
    </xf>
    <xf numFmtId="0" fontId="41" fillId="0" borderId="10" xfId="56" applyFont="1" applyFill="1" applyBorder="1">
      <alignment/>
      <protection/>
    </xf>
    <xf numFmtId="49" fontId="1" fillId="0" borderId="10" xfId="56" applyNumberForma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1" fillId="0" borderId="20" xfId="56" applyNumberFormat="1" applyFill="1" applyBorder="1" applyAlignment="1">
      <alignment/>
      <protection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6" borderId="10" xfId="56" applyFont="1" applyFill="1" applyBorder="1" applyAlignment="1">
      <alignment horizontal="left"/>
      <protection/>
    </xf>
    <xf numFmtId="0" fontId="0" fillId="26" borderId="10" xfId="56" applyFont="1" applyFill="1" applyBorder="1">
      <alignment/>
      <protection/>
    </xf>
    <xf numFmtId="1" fontId="3" fillId="0" borderId="0" xfId="0" applyNumberFormat="1" applyFont="1" applyAlignment="1">
      <alignment/>
    </xf>
    <xf numFmtId="1" fontId="12" fillId="8" borderId="0" xfId="0" applyNumberFormat="1" applyFont="1" applyFill="1" applyAlignment="1">
      <alignment/>
    </xf>
    <xf numFmtId="3" fontId="0" fillId="26" borderId="10" xfId="0" applyNumberFormat="1" applyFont="1" applyFill="1" applyBorder="1" applyAlignment="1">
      <alignment vertical="center"/>
    </xf>
    <xf numFmtId="3" fontId="5" fillId="26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right"/>
    </xf>
    <xf numFmtId="3" fontId="5" fillId="10" borderId="10" xfId="0" applyNumberFormat="1" applyFont="1" applyFill="1" applyBorder="1" applyAlignment="1">
      <alignment/>
    </xf>
    <xf numFmtId="3" fontId="1" fillId="0" borderId="0" xfId="56" applyNumberFormat="1">
      <alignment/>
      <protection/>
    </xf>
    <xf numFmtId="0" fontId="0" fillId="0" borderId="0" xfId="0" applyAlignment="1">
      <alignment horizontal="center"/>
    </xf>
    <xf numFmtId="3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4" xfId="0" applyFont="1" applyBorder="1" applyAlignment="1" quotePrefix="1">
      <alignment horizontal="left" indent="1"/>
    </xf>
    <xf numFmtId="0" fontId="0" fillId="0" borderId="11" xfId="0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0" fontId="3" fillId="24" borderId="54" xfId="0" applyFont="1" applyFill="1" applyBorder="1" applyAlignment="1">
      <alignment/>
    </xf>
    <xf numFmtId="0" fontId="3" fillId="24" borderId="45" xfId="0" applyFont="1" applyFill="1" applyBorder="1" applyAlignment="1">
      <alignment/>
    </xf>
    <xf numFmtId="1" fontId="30" fillId="24" borderId="52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19" borderId="10" xfId="0" applyNumberFormat="1" applyFill="1" applyBorder="1" applyAlignment="1">
      <alignment horizontal="right" vertical="center"/>
    </xf>
    <xf numFmtId="3" fontId="1" fillId="24" borderId="10" xfId="56" applyNumberFormat="1" applyFont="1" applyFill="1" applyBorder="1">
      <alignment/>
      <protection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horizontal="center"/>
    </xf>
    <xf numFmtId="0" fontId="45" fillId="0" borderId="56" xfId="60" applyFont="1" applyBorder="1" applyAlignment="1">
      <alignment horizontal="center" vertical="center"/>
      <protection/>
    </xf>
    <xf numFmtId="0" fontId="46" fillId="0" borderId="57" xfId="60" applyFont="1" applyBorder="1" applyAlignment="1">
      <alignment horizontal="center" vertical="center" wrapText="1"/>
      <protection/>
    </xf>
    <xf numFmtId="0" fontId="54" fillId="0" borderId="0" xfId="60" applyFont="1" applyAlignment="1">
      <alignment horizontal="right" vertical="center" wrapText="1"/>
      <protection/>
    </xf>
    <xf numFmtId="0" fontId="55" fillId="0" borderId="0" xfId="60" applyFont="1" applyAlignment="1">
      <alignment horizontal="center" vertical="center" wrapText="1"/>
      <protection/>
    </xf>
    <xf numFmtId="3" fontId="46" fillId="0" borderId="58" xfId="60" applyNumberFormat="1" applyFont="1" applyBorder="1" applyAlignment="1">
      <alignment horizontal="center" vertical="center" wrapText="1"/>
      <protection/>
    </xf>
    <xf numFmtId="0" fontId="54" fillId="0" borderId="0" xfId="60" applyFont="1" applyAlignment="1">
      <alignment horizontal="center" vertical="center" wrapText="1"/>
      <protection/>
    </xf>
    <xf numFmtId="0" fontId="56" fillId="0" borderId="0" xfId="60" applyFont="1" applyAlignment="1">
      <alignment horizontal="center" vertical="center"/>
      <protection/>
    </xf>
    <xf numFmtId="0" fontId="48" fillId="0" borderId="56" xfId="60" applyFont="1" applyBorder="1" applyAlignment="1">
      <alignment horizontal="center" vertical="center"/>
      <protection/>
    </xf>
    <xf numFmtId="0" fontId="48" fillId="0" borderId="59" xfId="60" applyFont="1" applyBorder="1" applyAlignment="1">
      <alignment horizontal="center" vertical="center"/>
      <protection/>
    </xf>
    <xf numFmtId="3" fontId="46" fillId="0" borderId="57" xfId="60" applyNumberFormat="1" applyFont="1" applyBorder="1" applyAlignment="1">
      <alignment horizontal="center" vertical="center" wrapText="1"/>
      <protection/>
    </xf>
    <xf numFmtId="0" fontId="46" fillId="0" borderId="60" xfId="60" applyFont="1" applyBorder="1" applyAlignment="1">
      <alignment horizontal="center" vertical="center"/>
      <protection/>
    </xf>
    <xf numFmtId="0" fontId="48" fillId="0" borderId="61" xfId="60" applyFont="1" applyBorder="1" applyAlignment="1">
      <alignment horizontal="center" vertical="center"/>
      <protection/>
    </xf>
    <xf numFmtId="0" fontId="49" fillId="0" borderId="61" xfId="60" applyFont="1" applyBorder="1" applyAlignment="1">
      <alignment vertical="center"/>
      <protection/>
    </xf>
    <xf numFmtId="3" fontId="46" fillId="0" borderId="62" xfId="60" applyNumberFormat="1" applyFont="1" applyBorder="1" applyAlignment="1">
      <alignment horizontal="center" vertical="center" wrapText="1"/>
      <protection/>
    </xf>
    <xf numFmtId="1" fontId="45" fillId="0" borderId="59" xfId="60" applyNumberFormat="1" applyFont="1" applyBorder="1" applyAlignment="1">
      <alignment horizontal="left" indent="1"/>
      <protection/>
    </xf>
    <xf numFmtId="3" fontId="49" fillId="0" borderId="59" xfId="60" applyNumberFormat="1" applyFont="1" applyBorder="1" applyAlignment="1">
      <alignment horizontal="right"/>
      <protection/>
    </xf>
    <xf numFmtId="3" fontId="49" fillId="0" borderId="59" xfId="60" applyNumberFormat="1" applyFont="1" applyBorder="1" applyAlignment="1">
      <alignment horizontal="right"/>
      <protection/>
    </xf>
    <xf numFmtId="3" fontId="49" fillId="0" borderId="63" xfId="60" applyNumberFormat="1" applyFont="1" applyBorder="1" applyAlignment="1">
      <alignment horizontal="right"/>
      <protection/>
    </xf>
    <xf numFmtId="0" fontId="54" fillId="0" borderId="0" xfId="60" applyFont="1" applyAlignment="1">
      <alignment horizontal="right"/>
      <protection/>
    </xf>
    <xf numFmtId="0" fontId="49" fillId="0" borderId="0" xfId="60" applyFont="1" applyAlignment="1">
      <alignment/>
      <protection/>
    </xf>
    <xf numFmtId="3" fontId="49" fillId="0" borderId="59" xfId="60" applyNumberFormat="1" applyFont="1" applyBorder="1" applyAlignment="1">
      <alignment horizontal="right" vertical="center"/>
      <protection/>
    </xf>
    <xf numFmtId="0" fontId="49" fillId="0" borderId="0" xfId="60" applyFont="1">
      <alignment/>
      <protection/>
    </xf>
    <xf numFmtId="0" fontId="49" fillId="0" borderId="63" xfId="60" applyFont="1" applyBorder="1" applyAlignment="1">
      <alignment horizontal="right" vertical="center"/>
      <protection/>
    </xf>
    <xf numFmtId="3" fontId="49" fillId="0" borderId="63" xfId="60" applyNumberFormat="1" applyBorder="1" applyAlignment="1">
      <alignment vertical="center"/>
      <protection/>
    </xf>
    <xf numFmtId="3" fontId="49" fillId="0" borderId="63" xfId="60" applyNumberFormat="1" applyFont="1" applyBorder="1" applyAlignment="1">
      <alignment horizontal="right" vertical="center"/>
      <protection/>
    </xf>
    <xf numFmtId="0" fontId="49" fillId="0" borderId="64" xfId="60" applyFont="1" applyBorder="1" applyAlignment="1">
      <alignment horizontal="right"/>
      <protection/>
    </xf>
    <xf numFmtId="0" fontId="49" fillId="0" borderId="63" xfId="60" applyFont="1" applyBorder="1" applyAlignment="1">
      <alignment horizontal="right"/>
      <protection/>
    </xf>
    <xf numFmtId="0" fontId="49" fillId="0" borderId="63" xfId="60" applyFont="1" applyBorder="1" applyAlignment="1">
      <alignment vertical="center"/>
      <protection/>
    </xf>
    <xf numFmtId="3" fontId="45" fillId="0" borderId="58" xfId="60" applyNumberFormat="1" applyFont="1" applyBorder="1" applyAlignment="1">
      <alignment horizontal="right" vertical="center"/>
      <protection/>
    </xf>
    <xf numFmtId="0" fontId="49" fillId="0" borderId="60" xfId="60" applyFont="1" applyBorder="1" applyAlignment="1">
      <alignment/>
      <protection/>
    </xf>
    <xf numFmtId="3" fontId="45" fillId="0" borderId="62" xfId="60" applyNumberFormat="1" applyFont="1" applyBorder="1" applyAlignment="1">
      <alignment horizontal="right" vertical="center"/>
      <protection/>
    </xf>
    <xf numFmtId="0" fontId="54" fillId="0" borderId="0" xfId="60" applyFont="1" applyAlignment="1">
      <alignment horizontal="right" vertical="center"/>
      <protection/>
    </xf>
    <xf numFmtId="0" fontId="49" fillId="0" borderId="0" xfId="60" applyFont="1" applyAlignment="1">
      <alignment vertical="center"/>
      <protection/>
    </xf>
    <xf numFmtId="0" fontId="45" fillId="22" borderId="65" xfId="60" applyFont="1" applyFill="1" applyBorder="1" applyAlignment="1">
      <alignment horizontal="left" vertical="center" indent="1"/>
      <protection/>
    </xf>
    <xf numFmtId="3" fontId="50" fillId="22" borderId="66" xfId="60" applyNumberFormat="1" applyFont="1" applyFill="1" applyBorder="1" applyAlignment="1">
      <alignment vertical="center"/>
      <protection/>
    </xf>
    <xf numFmtId="0" fontId="49" fillId="0" borderId="0" xfId="60" applyFont="1" applyAlignment="1">
      <alignment horizontal="left" vertical="center" indent="1"/>
      <protection/>
    </xf>
    <xf numFmtId="0" fontId="45" fillId="0" borderId="0" xfId="60" applyFont="1">
      <alignment/>
      <protection/>
    </xf>
    <xf numFmtId="0" fontId="49" fillId="0" borderId="56" xfId="60" applyFont="1" applyBorder="1" applyAlignment="1">
      <alignment/>
      <protection/>
    </xf>
    <xf numFmtId="0" fontId="49" fillId="0" borderId="59" xfId="60" applyFont="1" applyBorder="1" applyAlignment="1">
      <alignment/>
      <protection/>
    </xf>
    <xf numFmtId="0" fontId="49" fillId="0" borderId="59" xfId="60" applyFont="1" applyBorder="1" applyAlignment="1">
      <alignment horizontal="left" vertical="center" indent="1"/>
      <protection/>
    </xf>
    <xf numFmtId="3" fontId="49" fillId="0" borderId="59" xfId="60" applyNumberFormat="1" applyFont="1" applyBorder="1" applyAlignment="1">
      <alignment horizontal="center" vertical="center"/>
      <protection/>
    </xf>
    <xf numFmtId="49" fontId="49" fillId="0" borderId="59" xfId="60" applyNumberFormat="1" applyFont="1" applyBorder="1" applyAlignment="1">
      <alignment horizontal="center" vertical="center"/>
      <protection/>
    </xf>
    <xf numFmtId="3" fontId="45" fillId="0" borderId="57" xfId="60" applyNumberFormat="1" applyFont="1" applyBorder="1" applyAlignment="1">
      <alignment horizontal="right" vertical="center"/>
      <protection/>
    </xf>
    <xf numFmtId="0" fontId="48" fillId="0" borderId="0" xfId="60" applyFont="1">
      <alignment/>
      <protection/>
    </xf>
    <xf numFmtId="0" fontId="51" fillId="0" borderId="0" xfId="60" applyFont="1" applyAlignment="1">
      <alignment horizontal="left" vertical="center" indent="1"/>
      <protection/>
    </xf>
    <xf numFmtId="0" fontId="45" fillId="0" borderId="67" xfId="60" applyFont="1" applyFill="1" applyBorder="1" applyAlignment="1">
      <alignment horizontal="left" vertical="center" indent="1"/>
      <protection/>
    </xf>
    <xf numFmtId="0" fontId="45" fillId="0" borderId="67" xfId="60" applyFont="1" applyFill="1" applyBorder="1" applyAlignment="1">
      <alignment horizontal="center" vertical="center"/>
      <protection/>
    </xf>
    <xf numFmtId="3" fontId="50" fillId="0" borderId="67" xfId="60" applyNumberFormat="1" applyFont="1" applyFill="1" applyBorder="1" applyAlignment="1">
      <alignment vertical="center"/>
      <protection/>
    </xf>
    <xf numFmtId="3" fontId="49" fillId="0" borderId="57" xfId="60" applyNumberFormat="1" applyFont="1" applyBorder="1" applyAlignment="1">
      <alignment horizontal="right"/>
      <protection/>
    </xf>
    <xf numFmtId="0" fontId="49" fillId="0" borderId="64" xfId="60" applyFont="1" applyBorder="1" applyAlignment="1">
      <alignment/>
      <protection/>
    </xf>
    <xf numFmtId="0" fontId="49" fillId="0" borderId="63" xfId="60" applyFont="1" applyBorder="1" applyAlignment="1">
      <alignment/>
      <protection/>
    </xf>
    <xf numFmtId="3" fontId="49" fillId="0" borderId="58" xfId="60" applyNumberFormat="1" applyFont="1" applyBorder="1" applyAlignment="1">
      <alignment horizontal="right"/>
      <protection/>
    </xf>
    <xf numFmtId="0" fontId="45" fillId="0" borderId="63" xfId="60" applyFont="1" applyBorder="1" applyAlignment="1">
      <alignment/>
      <protection/>
    </xf>
    <xf numFmtId="3" fontId="45" fillId="0" borderId="58" xfId="60" applyNumberFormat="1" applyFont="1" applyBorder="1" applyAlignment="1">
      <alignment/>
      <protection/>
    </xf>
    <xf numFmtId="0" fontId="57" fillId="0" borderId="0" xfId="60" applyFont="1">
      <alignment/>
      <protection/>
    </xf>
    <xf numFmtId="0" fontId="49" fillId="0" borderId="64" xfId="60" applyFont="1" applyBorder="1" applyAlignment="1">
      <alignment vertical="top"/>
      <protection/>
    </xf>
    <xf numFmtId="9" fontId="49" fillId="0" borderId="63" xfId="60" applyNumberFormat="1" applyBorder="1" applyAlignment="1">
      <alignment/>
      <protection/>
    </xf>
    <xf numFmtId="3" fontId="49" fillId="0" borderId="58" xfId="60" applyNumberFormat="1" applyFont="1" applyBorder="1" applyAlignment="1">
      <alignment horizontal="right" vertical="center"/>
      <protection/>
    </xf>
    <xf numFmtId="0" fontId="49" fillId="0" borderId="0" xfId="60">
      <alignment/>
      <protection/>
    </xf>
    <xf numFmtId="0" fontId="52" fillId="0" borderId="64" xfId="60" applyFont="1" applyBorder="1" applyAlignment="1">
      <alignment/>
      <protection/>
    </xf>
    <xf numFmtId="0" fontId="52" fillId="0" borderId="63" xfId="60" applyFont="1" applyBorder="1" applyAlignment="1">
      <alignment/>
      <protection/>
    </xf>
    <xf numFmtId="3" fontId="52" fillId="0" borderId="58" xfId="60" applyNumberFormat="1" applyFont="1" applyBorder="1" applyAlignment="1">
      <alignment horizontal="right" vertical="center"/>
      <protection/>
    </xf>
    <xf numFmtId="0" fontId="52" fillId="0" borderId="0" xfId="60" applyFont="1">
      <alignment/>
      <protection/>
    </xf>
    <xf numFmtId="0" fontId="45" fillId="0" borderId="64" xfId="60" applyFont="1" applyBorder="1" applyAlignment="1">
      <alignment/>
      <protection/>
    </xf>
    <xf numFmtId="0" fontId="49" fillId="22" borderId="60" xfId="60" applyFont="1" applyFill="1" applyBorder="1" applyAlignment="1">
      <alignment horizontal="left" vertical="center" indent="1"/>
      <protection/>
    </xf>
    <xf numFmtId="3" fontId="50" fillId="22" borderId="62" xfId="60" applyNumberFormat="1" applyFont="1" applyFill="1" applyBorder="1" applyAlignment="1">
      <alignment vertical="center"/>
      <protection/>
    </xf>
    <xf numFmtId="0" fontId="49" fillId="0" borderId="0" xfId="60" applyAlignment="1">
      <alignment horizontal="left" vertical="center" indent="1"/>
      <protection/>
    </xf>
    <xf numFmtId="3" fontId="53" fillId="0" borderId="0" xfId="60" applyNumberFormat="1" applyFont="1" applyBorder="1" applyAlignment="1">
      <alignment horizontal="right"/>
      <protection/>
    </xf>
    <xf numFmtId="0" fontId="58" fillId="0" borderId="0" xfId="60" applyFont="1">
      <alignment/>
      <protection/>
    </xf>
    <xf numFmtId="0" fontId="46" fillId="0" borderId="68" xfId="60" applyFont="1" applyBorder="1" applyAlignment="1">
      <alignment horizontal="center" vertical="center"/>
      <protection/>
    </xf>
    <xf numFmtId="0" fontId="48" fillId="0" borderId="69" xfId="60" applyFont="1" applyBorder="1" applyAlignment="1">
      <alignment horizontal="center" vertical="center"/>
      <protection/>
    </xf>
    <xf numFmtId="0" fontId="49" fillId="0" borderId="69" xfId="60" applyFont="1" applyBorder="1" applyAlignment="1">
      <alignment vertical="center"/>
      <protection/>
    </xf>
    <xf numFmtId="3" fontId="46" fillId="0" borderId="70" xfId="60" applyNumberFormat="1" applyFont="1" applyBorder="1" applyAlignment="1">
      <alignment horizontal="center" vertical="center" wrapText="1"/>
      <protection/>
    </xf>
    <xf numFmtId="3" fontId="49" fillId="0" borderId="61" xfId="60" applyNumberFormat="1" applyFont="1" applyBorder="1" applyAlignment="1">
      <alignment horizontal="right"/>
      <protection/>
    </xf>
    <xf numFmtId="1" fontId="45" fillId="0" borderId="71" xfId="60" applyNumberFormat="1" applyFont="1" applyBorder="1" applyAlignment="1">
      <alignment horizontal="left" indent="1"/>
      <protection/>
    </xf>
    <xf numFmtId="3" fontId="49" fillId="0" borderId="71" xfId="60" applyNumberFormat="1" applyFont="1" applyBorder="1" applyAlignment="1">
      <alignment horizontal="right"/>
      <protection/>
    </xf>
    <xf numFmtId="3" fontId="49" fillId="0" borderId="71" xfId="60" applyNumberFormat="1" applyFont="1" applyBorder="1" applyAlignment="1">
      <alignment horizontal="right"/>
      <protection/>
    </xf>
    <xf numFmtId="3" fontId="49" fillId="0" borderId="61" xfId="60" applyNumberFormat="1" applyFont="1" applyBorder="1" applyAlignment="1">
      <alignment horizontal="right"/>
      <protection/>
    </xf>
    <xf numFmtId="3" fontId="49" fillId="0" borderId="0" xfId="60" applyNumberFormat="1" applyFont="1" applyAlignment="1">
      <alignment/>
      <protection/>
    </xf>
    <xf numFmtId="0" fontId="45" fillId="0" borderId="72" xfId="60" applyFont="1" applyBorder="1" applyAlignment="1">
      <alignment horizontal="right" vertical="top"/>
      <protection/>
    </xf>
    <xf numFmtId="0" fontId="45" fillId="0" borderId="73" xfId="60" applyFont="1" applyBorder="1" applyAlignment="1">
      <alignment horizontal="right" vertical="top"/>
      <protection/>
    </xf>
    <xf numFmtId="3" fontId="45" fillId="0" borderId="74" xfId="60" applyNumberFormat="1" applyFont="1" applyBorder="1" applyAlignment="1">
      <alignment horizontal="right"/>
      <protection/>
    </xf>
    <xf numFmtId="0" fontId="45" fillId="0" borderId="0" xfId="60" applyFont="1" applyAlignment="1">
      <alignment/>
      <protection/>
    </xf>
    <xf numFmtId="0" fontId="49" fillId="0" borderId="61" xfId="60" applyFont="1" applyBorder="1" applyAlignment="1">
      <alignment horizontal="right" vertical="center"/>
      <protection/>
    </xf>
    <xf numFmtId="3" fontId="49" fillId="0" borderId="61" xfId="60" applyNumberFormat="1" applyBorder="1" applyAlignment="1">
      <alignment vertical="center"/>
      <protection/>
    </xf>
    <xf numFmtId="3" fontId="49" fillId="0" borderId="61" xfId="60" applyNumberFormat="1" applyFont="1" applyBorder="1" applyAlignment="1">
      <alignment horizontal="right" vertical="center"/>
      <protection/>
    </xf>
    <xf numFmtId="0" fontId="59" fillId="0" borderId="0" xfId="60" applyFont="1" applyAlignment="1">
      <alignment horizontal="right"/>
      <protection/>
    </xf>
    <xf numFmtId="0" fontId="49" fillId="0" borderId="75" xfId="60" applyFont="1" applyBorder="1" applyAlignment="1">
      <alignment/>
      <protection/>
    </xf>
    <xf numFmtId="3" fontId="45" fillId="0" borderId="66" xfId="60" applyNumberFormat="1" applyFont="1" applyBorder="1" applyAlignment="1">
      <alignment horizontal="right" vertical="center"/>
      <protection/>
    </xf>
    <xf numFmtId="0" fontId="49" fillId="0" borderId="72" xfId="60" applyFont="1" applyBorder="1" applyAlignment="1">
      <alignment/>
      <protection/>
    </xf>
    <xf numFmtId="0" fontId="49" fillId="0" borderId="76" xfId="60" applyFont="1" applyBorder="1" applyAlignment="1">
      <alignment/>
      <protection/>
    </xf>
    <xf numFmtId="0" fontId="49" fillId="0" borderId="77" xfId="60" applyFont="1" applyBorder="1" applyAlignment="1">
      <alignment horizontal="left" indent="1"/>
      <protection/>
    </xf>
    <xf numFmtId="0" fontId="49" fillId="0" borderId="0" xfId="60" applyFont="1" applyBorder="1" applyAlignment="1">
      <alignment horizontal="left"/>
      <protection/>
    </xf>
    <xf numFmtId="0" fontId="49" fillId="0" borderId="76" xfId="60" applyFont="1" applyBorder="1" applyAlignment="1">
      <alignment horizontal="left"/>
      <protection/>
    </xf>
    <xf numFmtId="3" fontId="45" fillId="0" borderId="74" xfId="60" applyNumberFormat="1" applyFont="1" applyBorder="1" applyAlignment="1">
      <alignment horizontal="right" vertical="center"/>
      <protection/>
    </xf>
    <xf numFmtId="0" fontId="45" fillId="22" borderId="65" xfId="60" applyFont="1" applyFill="1" applyBorder="1" applyAlignment="1">
      <alignment horizontal="center" vertical="center"/>
      <protection/>
    </xf>
    <xf numFmtId="3" fontId="50" fillId="22" borderId="66" xfId="60" applyNumberFormat="1" applyFont="1" applyFill="1" applyBorder="1" applyAlignment="1">
      <alignment horizontal="right" vertical="center"/>
      <protection/>
    </xf>
    <xf numFmtId="0" fontId="60" fillId="0" borderId="0" xfId="60" applyFont="1">
      <alignment/>
      <protection/>
    </xf>
    <xf numFmtId="3" fontId="45" fillId="0" borderId="62" xfId="60" applyNumberFormat="1" applyFont="1" applyBorder="1" applyAlignment="1">
      <alignment/>
      <protection/>
    </xf>
    <xf numFmtId="0" fontId="45" fillId="22" borderId="65" xfId="60" applyFont="1" applyFill="1" applyBorder="1" applyAlignment="1">
      <alignment horizontal="left" vertical="center" indent="1"/>
      <protection/>
    </xf>
    <xf numFmtId="0" fontId="47" fillId="0" borderId="0" xfId="60" applyFont="1">
      <alignment/>
      <protection/>
    </xf>
    <xf numFmtId="3" fontId="53" fillId="0" borderId="78" xfId="60" applyNumberFormat="1" applyFont="1" applyBorder="1" applyAlignment="1">
      <alignment horizontal="right"/>
      <protection/>
    </xf>
    <xf numFmtId="0" fontId="61" fillId="0" borderId="0" xfId="60" applyFont="1">
      <alignment/>
      <protection/>
    </xf>
    <xf numFmtId="3" fontId="51" fillId="0" borderId="0" xfId="60" applyNumberFormat="1" applyFont="1" applyBorder="1" applyAlignment="1">
      <alignment horizontal="right"/>
      <protection/>
    </xf>
    <xf numFmtId="0" fontId="61" fillId="0" borderId="0" xfId="60" applyFont="1" applyAlignment="1">
      <alignment horizontal="center" vertical="center"/>
      <protection/>
    </xf>
    <xf numFmtId="0" fontId="62" fillId="0" borderId="68" xfId="60" applyFont="1" applyBorder="1" applyAlignment="1">
      <alignment horizontal="center" vertical="center"/>
      <protection/>
    </xf>
    <xf numFmtId="0" fontId="56" fillId="0" borderId="69" xfId="60" applyFont="1" applyBorder="1" applyAlignment="1">
      <alignment horizontal="center" vertical="center"/>
      <protection/>
    </xf>
    <xf numFmtId="0" fontId="45" fillId="0" borderId="0" xfId="60" applyFont="1">
      <alignment/>
      <protection/>
    </xf>
    <xf numFmtId="3" fontId="49" fillId="0" borderId="69" xfId="60" applyNumberFormat="1" applyFont="1" applyBorder="1" applyAlignment="1">
      <alignment horizontal="right"/>
      <protection/>
    </xf>
    <xf numFmtId="0" fontId="45" fillId="0" borderId="79" xfId="60" applyFont="1" applyBorder="1" applyAlignment="1">
      <alignment horizontal="right" vertical="top"/>
      <protection/>
    </xf>
    <xf numFmtId="0" fontId="45" fillId="0" borderId="80" xfId="60" applyFont="1" applyBorder="1" applyAlignment="1">
      <alignment horizontal="right" vertical="top"/>
      <protection/>
    </xf>
    <xf numFmtId="3" fontId="45" fillId="0" borderId="81" xfId="60" applyNumberFormat="1" applyFont="1" applyBorder="1" applyAlignment="1">
      <alignment horizontal="right"/>
      <protection/>
    </xf>
    <xf numFmtId="0" fontId="45" fillId="0" borderId="65" xfId="60" applyFont="1" applyBorder="1" applyAlignment="1">
      <alignment horizontal="right"/>
      <protection/>
    </xf>
    <xf numFmtId="0" fontId="45" fillId="0" borderId="82" xfId="60" applyFont="1" applyBorder="1" applyAlignment="1">
      <alignment horizontal="right"/>
      <protection/>
    </xf>
    <xf numFmtId="3" fontId="45" fillId="0" borderId="66" xfId="60" applyNumberFormat="1" applyFont="1" applyBorder="1" applyAlignment="1">
      <alignment horizontal="right" vertical="center"/>
      <protection/>
    </xf>
    <xf numFmtId="1" fontId="45" fillId="0" borderId="63" xfId="60" applyNumberFormat="1" applyFont="1" applyBorder="1" applyAlignment="1">
      <alignment horizontal="left" indent="1"/>
      <protection/>
    </xf>
    <xf numFmtId="3" fontId="49" fillId="0" borderId="63" xfId="60" applyNumberFormat="1" applyFont="1" applyBorder="1" applyAlignment="1">
      <alignment horizontal="right"/>
      <protection/>
    </xf>
    <xf numFmtId="0" fontId="45" fillId="0" borderId="65" xfId="60" applyFont="1" applyBorder="1" applyAlignment="1">
      <alignment horizontal="right" vertical="top"/>
      <protection/>
    </xf>
    <xf numFmtId="0" fontId="45" fillId="0" borderId="82" xfId="60" applyFont="1" applyBorder="1" applyAlignment="1">
      <alignment horizontal="right" vertical="top"/>
      <protection/>
    </xf>
    <xf numFmtId="1" fontId="45" fillId="0" borderId="82" xfId="60" applyNumberFormat="1" applyFont="1" applyBorder="1" applyAlignment="1">
      <alignment horizontal="right"/>
      <protection/>
    </xf>
    <xf numFmtId="3" fontId="45" fillId="0" borderId="82" xfId="60" applyNumberFormat="1" applyFont="1" applyBorder="1" applyAlignment="1">
      <alignment horizontal="right"/>
      <protection/>
    </xf>
    <xf numFmtId="3" fontId="45" fillId="0" borderId="66" xfId="60" applyNumberFormat="1" applyFont="1" applyBorder="1" applyAlignment="1">
      <alignment horizontal="right"/>
      <protection/>
    </xf>
    <xf numFmtId="0" fontId="63" fillId="0" borderId="0" xfId="60" applyFont="1" applyAlignment="1">
      <alignment horizontal="center" vertical="center" wrapText="1"/>
      <protection/>
    </xf>
    <xf numFmtId="0" fontId="62" fillId="0" borderId="79" xfId="60" applyFont="1" applyBorder="1" applyAlignment="1">
      <alignment horizontal="center" vertical="center"/>
      <protection/>
    </xf>
    <xf numFmtId="0" fontId="57" fillId="0" borderId="80" xfId="60" applyFont="1" applyBorder="1" applyAlignment="1">
      <alignment horizontal="center" vertical="center"/>
      <protection/>
    </xf>
    <xf numFmtId="3" fontId="49" fillId="0" borderId="0" xfId="60" applyNumberFormat="1" applyFont="1">
      <alignment/>
      <protection/>
    </xf>
    <xf numFmtId="0" fontId="45" fillId="0" borderId="83" xfId="60" applyFont="1" applyBorder="1" applyAlignment="1">
      <alignment horizontal="right" vertical="top"/>
      <protection/>
    </xf>
    <xf numFmtId="1" fontId="45" fillId="0" borderId="84" xfId="60" applyNumberFormat="1" applyFont="1" applyBorder="1" applyAlignment="1">
      <alignment horizontal="right"/>
      <protection/>
    </xf>
    <xf numFmtId="0" fontId="45" fillId="0" borderId="84" xfId="60" applyFont="1" applyBorder="1" applyAlignment="1">
      <alignment horizontal="right"/>
      <protection/>
    </xf>
    <xf numFmtId="3" fontId="45" fillId="0" borderId="85" xfId="60" applyNumberFormat="1" applyFont="1" applyBorder="1" applyAlignment="1">
      <alignment horizontal="right"/>
      <protection/>
    </xf>
    <xf numFmtId="49" fontId="49" fillId="0" borderId="59" xfId="60" applyNumberFormat="1" applyFont="1" applyBorder="1" applyAlignment="1">
      <alignment horizontal="right" vertical="center"/>
      <protection/>
    </xf>
    <xf numFmtId="0" fontId="47" fillId="0" borderId="0" xfId="60" applyFont="1" applyAlignment="1">
      <alignment vertical="center"/>
      <protection/>
    </xf>
    <xf numFmtId="0" fontId="49" fillId="0" borderId="64" xfId="60" applyFont="1" applyBorder="1" applyAlignment="1">
      <alignment vertical="center"/>
      <protection/>
    </xf>
    <xf numFmtId="0" fontId="57" fillId="0" borderId="0" xfId="60" applyFont="1" applyBorder="1" applyAlignment="1">
      <alignment horizontal="right"/>
      <protection/>
    </xf>
    <xf numFmtId="0" fontId="51" fillId="0" borderId="0" xfId="60" applyFont="1" applyBorder="1" applyAlignment="1">
      <alignment horizontal="left"/>
      <protection/>
    </xf>
    <xf numFmtId="0" fontId="48" fillId="0" borderId="79" xfId="60" applyFont="1" applyBorder="1" applyAlignment="1">
      <alignment horizontal="center" vertical="center"/>
      <protection/>
    </xf>
    <xf numFmtId="0" fontId="48" fillId="0" borderId="80" xfId="60" applyFont="1" applyBorder="1" applyAlignment="1">
      <alignment horizontal="center" vertical="center"/>
      <protection/>
    </xf>
    <xf numFmtId="3" fontId="46" fillId="0" borderId="81" xfId="60" applyNumberFormat="1" applyFont="1" applyBorder="1" applyAlignment="1">
      <alignment horizontal="center" vertical="center" wrapText="1"/>
      <protection/>
    </xf>
    <xf numFmtId="0" fontId="46" fillId="0" borderId="64" xfId="60" applyFont="1" applyBorder="1" applyAlignment="1">
      <alignment horizontal="center" vertical="center"/>
      <protection/>
    </xf>
    <xf numFmtId="0" fontId="48" fillId="0" borderId="63" xfId="60" applyFont="1" applyBorder="1" applyAlignment="1">
      <alignment horizontal="center" vertical="center" wrapText="1"/>
      <protection/>
    </xf>
    <xf numFmtId="3" fontId="49" fillId="0" borderId="58" xfId="60" applyNumberFormat="1" applyFont="1" applyBorder="1" applyAlignment="1">
      <alignment horizontal="right" vertical="center" indent="5"/>
      <protection/>
    </xf>
    <xf numFmtId="0" fontId="46" fillId="0" borderId="64" xfId="60" applyFont="1" applyBorder="1" applyAlignment="1">
      <alignment horizontal="center" vertical="center" wrapText="1"/>
      <protection/>
    </xf>
    <xf numFmtId="3" fontId="53" fillId="0" borderId="62" xfId="60" applyNumberFormat="1" applyFont="1" applyBorder="1" applyAlignment="1">
      <alignment horizontal="right" vertical="center" wrapText="1"/>
      <protection/>
    </xf>
    <xf numFmtId="0" fontId="46" fillId="0" borderId="0" xfId="60" applyFont="1" applyBorder="1" applyAlignment="1">
      <alignment horizontal="center" vertical="center" wrapText="1"/>
      <protection/>
    </xf>
    <xf numFmtId="0" fontId="48" fillId="0" borderId="0" xfId="60" applyFont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left" vertical="center" wrapText="1" indent="1"/>
      <protection/>
    </xf>
    <xf numFmtId="3" fontId="51" fillId="0" borderId="0" xfId="60" applyNumberFormat="1" applyFont="1" applyBorder="1" applyAlignment="1">
      <alignment horizontal="right" vertical="center" wrapText="1"/>
      <protection/>
    </xf>
    <xf numFmtId="0" fontId="57" fillId="0" borderId="0" xfId="60" applyFont="1">
      <alignment/>
      <protection/>
    </xf>
    <xf numFmtId="0" fontId="62" fillId="0" borderId="79" xfId="60" applyFont="1" applyBorder="1" applyAlignment="1">
      <alignment horizontal="center" vertical="center" wrapText="1"/>
      <protection/>
    </xf>
    <xf numFmtId="0" fontId="65" fillId="0" borderId="80" xfId="60" applyFont="1" applyBorder="1" applyAlignment="1">
      <alignment horizontal="center" vertical="center" wrapText="1"/>
      <protection/>
    </xf>
    <xf numFmtId="3" fontId="66" fillId="0" borderId="81" xfId="60" applyNumberFormat="1" applyFont="1" applyBorder="1" applyAlignment="1">
      <alignment horizontal="right" vertical="center" wrapText="1"/>
      <protection/>
    </xf>
    <xf numFmtId="0" fontId="48" fillId="0" borderId="63" xfId="60" applyFont="1" applyBorder="1" applyAlignment="1">
      <alignment horizontal="center" vertical="center"/>
      <protection/>
    </xf>
    <xf numFmtId="0" fontId="66" fillId="0" borderId="60" xfId="60" applyFont="1" applyBorder="1" applyAlignment="1">
      <alignment horizontal="center" vertical="center" wrapText="1"/>
      <protection/>
    </xf>
    <xf numFmtId="0" fontId="65" fillId="0" borderId="61" xfId="60" applyFont="1" applyBorder="1" applyAlignment="1">
      <alignment horizontal="center" vertical="center" wrapText="1"/>
      <protection/>
    </xf>
    <xf numFmtId="3" fontId="66" fillId="0" borderId="62" xfId="60" applyNumberFormat="1" applyFont="1" applyBorder="1" applyAlignment="1">
      <alignment horizontal="right" vertical="center" wrapText="1"/>
      <protection/>
    </xf>
    <xf numFmtId="0" fontId="48" fillId="0" borderId="56" xfId="60" applyFont="1" applyBorder="1" applyAlignment="1">
      <alignment horizontal="center" vertical="center"/>
      <protection/>
    </xf>
    <xf numFmtId="0" fontId="48" fillId="0" borderId="59" xfId="60" applyFont="1" applyBorder="1" applyAlignment="1">
      <alignment horizontal="center" vertical="center"/>
      <protection/>
    </xf>
    <xf numFmtId="0" fontId="51" fillId="0" borderId="0" xfId="60" applyFont="1">
      <alignment/>
      <protection/>
    </xf>
    <xf numFmtId="0" fontId="67" fillId="0" borderId="72" xfId="60" applyFont="1" applyBorder="1" applyAlignment="1">
      <alignment horizontal="center" vertical="center" wrapText="1"/>
      <protection/>
    </xf>
    <xf numFmtId="0" fontId="68" fillId="0" borderId="73" xfId="60" applyFont="1" applyBorder="1" applyAlignment="1">
      <alignment horizontal="center" vertical="center" wrapText="1"/>
      <protection/>
    </xf>
    <xf numFmtId="3" fontId="67" fillId="0" borderId="70" xfId="60" applyNumberFormat="1" applyFont="1" applyBorder="1" applyAlignment="1">
      <alignment horizontal="right" vertical="center" wrapText="1"/>
      <protection/>
    </xf>
    <xf numFmtId="0" fontId="69" fillId="0" borderId="0" xfId="60" applyFont="1">
      <alignment/>
      <protection/>
    </xf>
    <xf numFmtId="0" fontId="49" fillId="0" borderId="56" xfId="60" applyFont="1" applyBorder="1" applyAlignment="1">
      <alignment horizontal="center"/>
      <protection/>
    </xf>
    <xf numFmtId="0" fontId="49" fillId="0" borderId="59" xfId="60" applyFont="1" applyBorder="1" applyAlignment="1">
      <alignment horizontal="center"/>
      <protection/>
    </xf>
    <xf numFmtId="0" fontId="49" fillId="0" borderId="64" xfId="60" applyFont="1" applyBorder="1" applyAlignment="1">
      <alignment horizontal="center"/>
      <protection/>
    </xf>
    <xf numFmtId="0" fontId="49" fillId="0" borderId="63" xfId="60" applyFont="1" applyBorder="1" applyAlignment="1">
      <alignment horizontal="center"/>
      <protection/>
    </xf>
    <xf numFmtId="0" fontId="66" fillId="0" borderId="79" xfId="60" applyFont="1" applyBorder="1" applyAlignment="1">
      <alignment horizontal="center" vertical="center" wrapText="1"/>
      <protection/>
    </xf>
    <xf numFmtId="0" fontId="57" fillId="0" borderId="0" xfId="60" applyFont="1" applyAlignment="1">
      <alignment horizontal="right"/>
      <protection/>
    </xf>
    <xf numFmtId="0" fontId="56" fillId="0" borderId="0" xfId="60" applyFont="1" applyAlignment="1">
      <alignment horizontal="left"/>
      <protection/>
    </xf>
    <xf numFmtId="0" fontId="49" fillId="0" borderId="0" xfId="60" applyAlignment="1">
      <alignment horizontal="right" vertical="center"/>
      <protection/>
    </xf>
    <xf numFmtId="3" fontId="49" fillId="0" borderId="81" xfId="60" applyNumberFormat="1" applyBorder="1" applyAlignment="1">
      <alignment vertical="center"/>
      <protection/>
    </xf>
    <xf numFmtId="3" fontId="49" fillId="0" borderId="57" xfId="60" applyNumberFormat="1" applyBorder="1" applyAlignment="1">
      <alignment vertical="center"/>
      <protection/>
    </xf>
    <xf numFmtId="3" fontId="49" fillId="0" borderId="58" xfId="60" applyNumberFormat="1" applyBorder="1" applyAlignment="1">
      <alignment vertical="center"/>
      <protection/>
    </xf>
    <xf numFmtId="3" fontId="62" fillId="0" borderId="62" xfId="60" applyNumberFormat="1" applyFont="1" applyBorder="1" applyAlignment="1">
      <alignment horizontal="right" vertical="center"/>
      <protection/>
    </xf>
    <xf numFmtId="3" fontId="53" fillId="0" borderId="81" xfId="60" applyNumberFormat="1" applyFont="1" applyBorder="1" applyAlignment="1">
      <alignment horizontal="right" vertical="center"/>
      <protection/>
    </xf>
    <xf numFmtId="0" fontId="49" fillId="0" borderId="0" xfId="60" applyAlignment="1">
      <alignment horizontal="right"/>
      <protection/>
    </xf>
    <xf numFmtId="0" fontId="49" fillId="0" borderId="0" xfId="60" applyAlignment="1">
      <alignment horizontal="left"/>
      <protection/>
    </xf>
    <xf numFmtId="3" fontId="49" fillId="0" borderId="0" xfId="60" applyNumberFormat="1" applyFont="1" applyAlignment="1">
      <alignment horizontal="right" vertical="center"/>
      <protection/>
    </xf>
    <xf numFmtId="3" fontId="49" fillId="0" borderId="0" xfId="60" applyNumberFormat="1" applyAlignment="1">
      <alignment horizontal="right" vertical="center"/>
      <protection/>
    </xf>
    <xf numFmtId="0" fontId="54" fillId="0" borderId="0" xfId="60" applyFont="1" applyAlignment="1">
      <alignment horizontal="right" vertical="top"/>
      <protection/>
    </xf>
    <xf numFmtId="0" fontId="62" fillId="0" borderId="0" xfId="60" applyFont="1" applyAlignment="1">
      <alignment vertical="top"/>
      <protection/>
    </xf>
    <xf numFmtId="0" fontId="49" fillId="0" borderId="0" xfId="60" applyAlignment="1">
      <alignment horizontal="center"/>
      <protection/>
    </xf>
    <xf numFmtId="0" fontId="49" fillId="0" borderId="0" xfId="60" applyBorder="1" applyAlignment="1">
      <alignment horizontal="left" vertical="center" indent="1"/>
      <protection/>
    </xf>
    <xf numFmtId="0" fontId="49" fillId="0" borderId="0" xfId="60" applyBorder="1" applyAlignment="1">
      <alignment horizontal="right" vertical="center"/>
      <protection/>
    </xf>
    <xf numFmtId="0" fontId="49" fillId="0" borderId="0" xfId="60" applyBorder="1" applyAlignment="1">
      <alignment horizontal="center"/>
      <protection/>
    </xf>
    <xf numFmtId="0" fontId="45" fillId="0" borderId="86" xfId="60" applyFont="1" applyBorder="1" applyAlignment="1">
      <alignment horizontal="right" wrapText="1"/>
      <protection/>
    </xf>
    <xf numFmtId="0" fontId="46" fillId="0" borderId="86" xfId="60" applyFont="1" applyBorder="1" applyAlignment="1">
      <alignment horizontal="center" vertical="center"/>
      <protection/>
    </xf>
    <xf numFmtId="3" fontId="46" fillId="0" borderId="87" xfId="60" applyNumberFormat="1" applyFont="1" applyBorder="1" applyAlignment="1">
      <alignment horizontal="center" vertical="center" wrapText="1"/>
      <protection/>
    </xf>
    <xf numFmtId="0" fontId="49" fillId="0" borderId="0" xfId="60" applyBorder="1">
      <alignment/>
      <protection/>
    </xf>
    <xf numFmtId="3" fontId="49" fillId="0" borderId="59" xfId="60" applyNumberFormat="1" applyBorder="1" applyAlignment="1">
      <alignment horizontal="right" vertical="center"/>
      <protection/>
    </xf>
    <xf numFmtId="3" fontId="45" fillId="0" borderId="57" xfId="60" applyNumberFormat="1" applyFont="1" applyBorder="1" applyAlignment="1">
      <alignment horizontal="right" vertical="center"/>
      <protection/>
    </xf>
    <xf numFmtId="3" fontId="49" fillId="0" borderId="63" xfId="60" applyNumberFormat="1" applyBorder="1" applyAlignment="1">
      <alignment horizontal="right" vertical="center"/>
      <protection/>
    </xf>
    <xf numFmtId="3" fontId="45" fillId="0" borderId="58" xfId="60" applyNumberFormat="1" applyFont="1" applyBorder="1" applyAlignment="1">
      <alignment horizontal="right" vertical="center"/>
      <protection/>
    </xf>
    <xf numFmtId="3" fontId="49" fillId="0" borderId="61" xfId="60" applyNumberFormat="1" applyBorder="1" applyAlignment="1">
      <alignment horizontal="right" vertical="center"/>
      <protection/>
    </xf>
    <xf numFmtId="3" fontId="45" fillId="0" borderId="62" xfId="60" applyNumberFormat="1" applyFont="1" applyBorder="1" applyAlignment="1">
      <alignment horizontal="right" vertical="center"/>
      <protection/>
    </xf>
    <xf numFmtId="3" fontId="49" fillId="0" borderId="80" xfId="60" applyNumberFormat="1" applyBorder="1" applyAlignment="1">
      <alignment horizontal="right" vertical="center"/>
      <protection/>
    </xf>
    <xf numFmtId="3" fontId="45" fillId="0" borderId="81" xfId="60" applyNumberFormat="1" applyFont="1" applyBorder="1" applyAlignment="1">
      <alignment horizontal="right" vertical="center"/>
      <protection/>
    </xf>
    <xf numFmtId="3" fontId="45" fillId="0" borderId="80" xfId="60" applyNumberFormat="1" applyFont="1" applyBorder="1" applyAlignment="1">
      <alignment horizontal="right" vertical="center"/>
      <protection/>
    </xf>
    <xf numFmtId="10" fontId="54" fillId="0" borderId="0" xfId="60" applyNumberFormat="1" applyFont="1" applyAlignment="1">
      <alignment horizontal="right" vertical="center"/>
      <protection/>
    </xf>
    <xf numFmtId="180" fontId="45" fillId="0" borderId="0" xfId="68" applyNumberFormat="1" applyFont="1" applyBorder="1" applyAlignment="1">
      <alignment horizontal="right" vertical="center"/>
    </xf>
    <xf numFmtId="0" fontId="52" fillId="0" borderId="0" xfId="68" applyNumberFormat="1" applyFont="1" applyBorder="1" applyAlignment="1">
      <alignment horizontal="right" vertical="center"/>
    </xf>
    <xf numFmtId="0" fontId="49" fillId="0" borderId="0" xfId="60" applyBorder="1" applyAlignment="1">
      <alignment horizontal="right"/>
      <protection/>
    </xf>
    <xf numFmtId="0" fontId="49" fillId="0" borderId="0" xfId="60" applyBorder="1" applyAlignment="1">
      <alignment horizontal="left"/>
      <protection/>
    </xf>
    <xf numFmtId="3" fontId="49" fillId="0" borderId="0" xfId="60" applyNumberFormat="1" applyFont="1" applyBorder="1" applyAlignment="1">
      <alignment horizontal="right" vertical="center"/>
      <protection/>
    </xf>
    <xf numFmtId="3" fontId="49" fillId="0" borderId="0" xfId="60" applyNumberFormat="1" applyBorder="1" applyAlignment="1">
      <alignment horizontal="right" vertical="center"/>
      <protection/>
    </xf>
    <xf numFmtId="0" fontId="49" fillId="0" borderId="88" xfId="60" applyBorder="1" applyAlignment="1">
      <alignment horizontal="center" vertical="center"/>
      <protection/>
    </xf>
    <xf numFmtId="0" fontId="48" fillId="0" borderId="86" xfId="60" applyFont="1" applyBorder="1" applyAlignment="1">
      <alignment horizontal="center" vertical="center" wrapText="1"/>
      <protection/>
    </xf>
    <xf numFmtId="0" fontId="49" fillId="0" borderId="86" xfId="60" applyFont="1" applyBorder="1" applyAlignment="1">
      <alignment horizontal="center" vertical="center" wrapText="1"/>
      <protection/>
    </xf>
    <xf numFmtId="3" fontId="49" fillId="0" borderId="87" xfId="60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0" fontId="49" fillId="0" borderId="56" xfId="60" applyBorder="1" applyAlignment="1">
      <alignment horizontal="center" vertical="center"/>
      <protection/>
    </xf>
    <xf numFmtId="3" fontId="49" fillId="0" borderId="59" xfId="60" applyNumberFormat="1" applyBorder="1" applyAlignment="1">
      <alignment horizontal="center" vertical="center"/>
      <protection/>
    </xf>
    <xf numFmtId="3" fontId="49" fillId="0" borderId="59" xfId="68" applyNumberFormat="1" applyFont="1" applyBorder="1" applyAlignment="1">
      <alignment horizontal="right" vertical="center"/>
    </xf>
    <xf numFmtId="180" fontId="49" fillId="0" borderId="57" xfId="68" applyNumberFormat="1" applyFont="1" applyBorder="1" applyAlignment="1">
      <alignment horizontal="center" vertical="center"/>
    </xf>
    <xf numFmtId="1" fontId="49" fillId="0" borderId="0" xfId="60" applyNumberFormat="1">
      <alignment/>
      <protection/>
    </xf>
    <xf numFmtId="0" fontId="62" fillId="0" borderId="0" xfId="60" applyFont="1">
      <alignment/>
      <protection/>
    </xf>
    <xf numFmtId="0" fontId="49" fillId="0" borderId="64" xfId="60" applyBorder="1" applyAlignment="1">
      <alignment horizontal="center" vertical="center"/>
      <protection/>
    </xf>
    <xf numFmtId="3" fontId="49" fillId="0" borderId="63" xfId="60" applyNumberFormat="1" applyBorder="1" applyAlignment="1">
      <alignment horizontal="center" vertical="center"/>
      <protection/>
    </xf>
    <xf numFmtId="3" fontId="49" fillId="0" borderId="63" xfId="68" applyNumberFormat="1" applyFont="1" applyBorder="1" applyAlignment="1">
      <alignment horizontal="right" vertical="center"/>
    </xf>
    <xf numFmtId="180" fontId="49" fillId="0" borderId="58" xfId="68" applyNumberFormat="1" applyFont="1" applyBorder="1" applyAlignment="1">
      <alignment horizontal="center" vertical="center"/>
    </xf>
    <xf numFmtId="1" fontId="49" fillId="0" borderId="0" xfId="60" applyNumberFormat="1" applyFont="1">
      <alignment/>
      <protection/>
    </xf>
    <xf numFmtId="0" fontId="49" fillId="0" borderId="0" xfId="60" applyFont="1" applyAlignment="1">
      <alignment horizontal="right"/>
      <protection/>
    </xf>
    <xf numFmtId="0" fontId="49" fillId="0" borderId="64" xfId="60" applyFont="1" applyBorder="1" applyAlignment="1">
      <alignment horizontal="center" vertical="center"/>
      <protection/>
    </xf>
    <xf numFmtId="3" fontId="49" fillId="0" borderId="63" xfId="60" applyNumberFormat="1" applyFont="1" applyBorder="1" applyAlignment="1">
      <alignment horizontal="center" vertical="center"/>
      <protection/>
    </xf>
    <xf numFmtId="1" fontId="62" fillId="0" borderId="0" xfId="60" applyNumberFormat="1" applyFont="1">
      <alignment/>
      <protection/>
    </xf>
    <xf numFmtId="0" fontId="49" fillId="0" borderId="60" xfId="60" applyFont="1" applyBorder="1" applyAlignment="1">
      <alignment horizontal="center" vertical="center"/>
      <protection/>
    </xf>
    <xf numFmtId="3" fontId="49" fillId="0" borderId="61" xfId="60" applyNumberFormat="1" applyFont="1" applyBorder="1" applyAlignment="1">
      <alignment horizontal="center" vertical="center"/>
      <protection/>
    </xf>
    <xf numFmtId="3" fontId="49" fillId="0" borderId="61" xfId="68" applyNumberFormat="1" applyFont="1" applyBorder="1" applyAlignment="1">
      <alignment horizontal="right" vertical="center"/>
    </xf>
    <xf numFmtId="180" fontId="49" fillId="0" borderId="62" xfId="68" applyNumberFormat="1" applyFont="1" applyBorder="1" applyAlignment="1">
      <alignment horizontal="center" vertical="center"/>
    </xf>
    <xf numFmtId="0" fontId="62" fillId="0" borderId="0" xfId="60" applyFont="1" applyAlignment="1">
      <alignment horizontal="right"/>
      <protection/>
    </xf>
    <xf numFmtId="0" fontId="70" fillId="0" borderId="79" xfId="60" applyFont="1" applyBorder="1" applyAlignment="1">
      <alignment horizontal="center" vertical="center"/>
      <protection/>
    </xf>
    <xf numFmtId="3" fontId="70" fillId="0" borderId="80" xfId="60" applyNumberFormat="1" applyFont="1" applyBorder="1" applyAlignment="1">
      <alignment horizontal="center" vertical="center"/>
      <protection/>
    </xf>
    <xf numFmtId="3" fontId="70" fillId="0" borderId="80" xfId="68" applyNumberFormat="1" applyFont="1" applyBorder="1" applyAlignment="1">
      <alignment horizontal="right" vertical="center"/>
    </xf>
    <xf numFmtId="180" fontId="70" fillId="0" borderId="81" xfId="68" applyNumberFormat="1" applyFont="1" applyBorder="1" applyAlignment="1">
      <alignment horizontal="center" vertical="center"/>
    </xf>
    <xf numFmtId="0" fontId="48" fillId="0" borderId="80" xfId="60" applyFont="1" applyBorder="1" applyAlignment="1">
      <alignment horizontal="center" vertical="center" wrapText="1"/>
      <protection/>
    </xf>
    <xf numFmtId="3" fontId="49" fillId="0" borderId="81" xfId="60" applyNumberFormat="1" applyFont="1" applyBorder="1" applyAlignment="1">
      <alignment horizontal="center" vertical="center" wrapText="1"/>
      <protection/>
    </xf>
    <xf numFmtId="1" fontId="49" fillId="0" borderId="56" xfId="60" applyNumberFormat="1" applyFont="1" applyBorder="1" applyAlignment="1">
      <alignment horizontal="center" vertical="center"/>
      <protection/>
    </xf>
    <xf numFmtId="180" fontId="49" fillId="0" borderId="57" xfId="60" applyNumberFormat="1" applyBorder="1" applyAlignment="1">
      <alignment horizontal="center" vertical="center"/>
      <protection/>
    </xf>
    <xf numFmtId="1" fontId="49" fillId="0" borderId="64" xfId="60" applyNumberFormat="1" applyFont="1" applyBorder="1" applyAlignment="1">
      <alignment horizontal="center" vertical="center"/>
      <protection/>
    </xf>
    <xf numFmtId="180" fontId="49" fillId="0" borderId="58" xfId="60" applyNumberFormat="1" applyBorder="1" applyAlignment="1">
      <alignment horizontal="center" vertical="center"/>
      <protection/>
    </xf>
    <xf numFmtId="180" fontId="49" fillId="0" borderId="58" xfId="60" applyNumberFormat="1" applyFont="1" applyBorder="1" applyAlignment="1">
      <alignment horizontal="center" vertical="center"/>
      <protection/>
    </xf>
    <xf numFmtId="1" fontId="49" fillId="0" borderId="65" xfId="60" applyNumberFormat="1" applyFont="1" applyBorder="1" applyAlignment="1">
      <alignment horizontal="center" vertical="center"/>
      <protection/>
    </xf>
    <xf numFmtId="3" fontId="49" fillId="0" borderId="61" xfId="60" applyNumberFormat="1" applyBorder="1" applyAlignment="1">
      <alignment horizontal="center" vertical="center"/>
      <protection/>
    </xf>
    <xf numFmtId="180" fontId="49" fillId="0" borderId="66" xfId="60" applyNumberFormat="1" applyFont="1" applyBorder="1" applyAlignment="1">
      <alignment horizontal="center" vertical="center"/>
      <protection/>
    </xf>
    <xf numFmtId="0" fontId="71" fillId="0" borderId="89" xfId="60" applyFont="1" applyBorder="1" applyAlignment="1">
      <alignment horizontal="center" vertical="center" wrapText="1"/>
      <protection/>
    </xf>
    <xf numFmtId="0" fontId="71" fillId="0" borderId="90" xfId="60" applyFont="1" applyBorder="1" applyAlignment="1">
      <alignment horizontal="center" vertical="center"/>
      <protection/>
    </xf>
    <xf numFmtId="0" fontId="71" fillId="0" borderId="91" xfId="60" applyFont="1" applyBorder="1" applyAlignment="1">
      <alignment horizontal="left" vertical="center" indent="1"/>
      <protection/>
    </xf>
    <xf numFmtId="3" fontId="71" fillId="0" borderId="92" xfId="60" applyNumberFormat="1" applyFont="1" applyBorder="1" applyAlignment="1">
      <alignment horizontal="right" vertical="center" indent="1"/>
      <protection/>
    </xf>
    <xf numFmtId="0" fontId="71" fillId="0" borderId="93" xfId="60" applyFont="1" applyBorder="1" applyAlignment="1">
      <alignment horizontal="left" vertical="center" indent="1"/>
      <protection/>
    </xf>
    <xf numFmtId="3" fontId="71" fillId="0" borderId="94" xfId="60" applyNumberFormat="1" applyFont="1" applyBorder="1" applyAlignment="1">
      <alignment horizontal="right" vertical="center" indent="1"/>
      <protection/>
    </xf>
    <xf numFmtId="0" fontId="72" fillId="0" borderId="95" xfId="60" applyFont="1" applyBorder="1" applyAlignment="1">
      <alignment horizontal="left" vertical="center" wrapText="1" indent="1"/>
      <protection/>
    </xf>
    <xf numFmtId="3" fontId="71" fillId="0" borderId="96" xfId="60" applyNumberFormat="1" applyFont="1" applyBorder="1" applyAlignment="1">
      <alignment horizontal="right" vertical="center" indent="1"/>
      <protection/>
    </xf>
    <xf numFmtId="0" fontId="71" fillId="0" borderId="89" xfId="60" applyFont="1" applyBorder="1" applyAlignment="1">
      <alignment horizontal="left" vertical="center" indent="1"/>
      <protection/>
    </xf>
    <xf numFmtId="0" fontId="49" fillId="0" borderId="97" xfId="60" applyFont="1" applyBorder="1" applyAlignment="1">
      <alignment horizontal="center" vertical="center"/>
      <protection/>
    </xf>
    <xf numFmtId="0" fontId="49" fillId="0" borderId="98" xfId="60" applyFont="1" applyBorder="1" applyAlignment="1">
      <alignment horizontal="center" vertical="center"/>
      <protection/>
    </xf>
    <xf numFmtId="0" fontId="49" fillId="0" borderId="99" xfId="60" applyFont="1" applyFill="1" applyBorder="1" applyAlignment="1">
      <alignment horizontal="center" vertical="center"/>
      <protection/>
    </xf>
    <xf numFmtId="3" fontId="48" fillId="0" borderId="0" xfId="60" applyNumberFormat="1" applyFont="1" applyBorder="1" applyAlignment="1">
      <alignment horizontal="center"/>
      <protection/>
    </xf>
    <xf numFmtId="0" fontId="49" fillId="0" borderId="100" xfId="60" applyBorder="1" applyAlignment="1">
      <alignment horizontal="center" vertical="center"/>
      <protection/>
    </xf>
    <xf numFmtId="0" fontId="49" fillId="0" borderId="101" xfId="60" applyBorder="1" applyAlignment="1">
      <alignment horizontal="center" vertical="center"/>
      <protection/>
    </xf>
    <xf numFmtId="0" fontId="49" fillId="0" borderId="101" xfId="60" applyBorder="1" applyAlignment="1">
      <alignment horizontal="center"/>
      <protection/>
    </xf>
    <xf numFmtId="0" fontId="49" fillId="0" borderId="102" xfId="60" applyBorder="1" applyAlignment="1">
      <alignment horizontal="center"/>
      <protection/>
    </xf>
    <xf numFmtId="0" fontId="49" fillId="0" borderId="103" xfId="60" applyBorder="1" applyAlignment="1">
      <alignment horizontal="center" vertical="center"/>
      <protection/>
    </xf>
    <xf numFmtId="0" fontId="49" fillId="0" borderId="7" xfId="60" applyBorder="1" applyAlignment="1">
      <alignment horizontal="center" vertical="center"/>
      <protection/>
    </xf>
    <xf numFmtId="0" fontId="49" fillId="0" borderId="7" xfId="60" applyBorder="1" applyAlignment="1">
      <alignment horizontal="center"/>
      <protection/>
    </xf>
    <xf numFmtId="0" fontId="49" fillId="0" borderId="104" xfId="60" applyBorder="1" applyAlignment="1">
      <alignment horizontal="center"/>
      <protection/>
    </xf>
    <xf numFmtId="0" fontId="49" fillId="0" borderId="105" xfId="60" applyBorder="1" applyAlignment="1">
      <alignment horizontal="center" vertical="center"/>
      <protection/>
    </xf>
    <xf numFmtId="0" fontId="49" fillId="0" borderId="106" xfId="60" applyBorder="1" applyAlignment="1">
      <alignment horizontal="center" vertical="center"/>
      <protection/>
    </xf>
    <xf numFmtId="0" fontId="49" fillId="0" borderId="106" xfId="60" applyFont="1" applyBorder="1" applyAlignment="1">
      <alignment horizontal="center" vertical="top"/>
      <protection/>
    </xf>
    <xf numFmtId="0" fontId="49" fillId="0" borderId="107" xfId="60" applyFont="1" applyBorder="1" applyAlignment="1">
      <alignment horizontal="center" vertical="top"/>
      <protection/>
    </xf>
    <xf numFmtId="0" fontId="49" fillId="0" borderId="0" xfId="60" applyFont="1" applyAlignment="1">
      <alignment vertical="top"/>
      <protection/>
    </xf>
    <xf numFmtId="0" fontId="45" fillId="0" borderId="97" xfId="60" applyFont="1" applyBorder="1" applyAlignment="1">
      <alignment horizontal="center" vertical="center"/>
      <protection/>
    </xf>
    <xf numFmtId="0" fontId="45" fillId="0" borderId="98" xfId="60" applyFont="1" applyBorder="1" applyAlignment="1">
      <alignment horizontal="center" vertical="center"/>
      <protection/>
    </xf>
    <xf numFmtId="0" fontId="45" fillId="0" borderId="98" xfId="60" applyFont="1" applyBorder="1" applyAlignment="1">
      <alignment horizontal="center"/>
      <protection/>
    </xf>
    <xf numFmtId="0" fontId="45" fillId="0" borderId="99" xfId="60" applyFont="1" applyBorder="1" applyAlignment="1">
      <alignment horizontal="center"/>
      <protection/>
    </xf>
    <xf numFmtId="0" fontId="49" fillId="0" borderId="108" xfId="60" applyFont="1" applyBorder="1" applyAlignment="1">
      <alignment horizontal="left" vertical="center" indent="3"/>
      <protection/>
    </xf>
    <xf numFmtId="0" fontId="49" fillId="0" borderId="108" xfId="60" applyBorder="1" applyAlignment="1">
      <alignment horizontal="left" indent="3"/>
      <protection/>
    </xf>
    <xf numFmtId="0" fontId="49" fillId="0" borderId="108" xfId="60" applyBorder="1" applyAlignment="1">
      <alignment horizontal="center" vertical="center"/>
      <protection/>
    </xf>
    <xf numFmtId="0" fontId="49" fillId="0" borderId="108" xfId="60" applyBorder="1" applyAlignment="1">
      <alignment horizontal="center"/>
      <protection/>
    </xf>
    <xf numFmtId="0" fontId="49" fillId="0" borderId="108" xfId="60" applyBorder="1">
      <alignment/>
      <protection/>
    </xf>
    <xf numFmtId="0" fontId="49" fillId="0" borderId="0" xfId="60" applyAlignment="1">
      <alignment vertical="center"/>
      <protection/>
    </xf>
    <xf numFmtId="0" fontId="63" fillId="0" borderId="109" xfId="60" applyFont="1" applyBorder="1" applyAlignment="1">
      <alignment horizontal="center" vertical="center"/>
      <protection/>
    </xf>
    <xf numFmtId="0" fontId="63" fillId="0" borderId="109" xfId="60" applyFont="1" applyBorder="1" applyAlignment="1">
      <alignment horizontal="center" vertical="center" wrapText="1"/>
      <protection/>
    </xf>
    <xf numFmtId="0" fontId="55" fillId="0" borderId="106" xfId="60" applyFont="1" applyBorder="1" applyAlignment="1">
      <alignment horizontal="center" vertical="center" wrapText="1"/>
      <protection/>
    </xf>
    <xf numFmtId="0" fontId="55" fillId="0" borderId="106" xfId="60" applyFont="1" applyBorder="1" applyAlignment="1">
      <alignment horizontal="center" vertical="center" wrapText="1"/>
      <protection/>
    </xf>
    <xf numFmtId="0" fontId="63" fillId="0" borderId="106" xfId="60" applyFont="1" applyBorder="1" applyAlignment="1">
      <alignment horizontal="center" vertical="center" wrapText="1"/>
      <protection/>
    </xf>
    <xf numFmtId="0" fontId="48" fillId="0" borderId="100" xfId="60" applyFont="1" applyBorder="1" applyAlignment="1">
      <alignment horizontal="center" vertical="center"/>
      <protection/>
    </xf>
    <xf numFmtId="0" fontId="48" fillId="0" borderId="101" xfId="60" applyFont="1" applyBorder="1" applyAlignment="1">
      <alignment horizontal="center" vertical="center"/>
      <protection/>
    </xf>
    <xf numFmtId="49" fontId="48" fillId="0" borderId="101" xfId="60" applyNumberFormat="1" applyFont="1" applyBorder="1" applyAlignment="1">
      <alignment horizontal="center" vertical="center"/>
      <protection/>
    </xf>
    <xf numFmtId="3" fontId="48" fillId="0" borderId="101" xfId="60" applyNumberFormat="1" applyFont="1" applyBorder="1" applyAlignment="1">
      <alignment vertical="center"/>
      <protection/>
    </xf>
    <xf numFmtId="3" fontId="48" fillId="0" borderId="101" xfId="60" applyNumberFormat="1" applyFont="1" applyBorder="1" applyAlignment="1">
      <alignment/>
      <protection/>
    </xf>
    <xf numFmtId="3" fontId="48" fillId="0" borderId="101" xfId="60" applyNumberFormat="1" applyFont="1" applyBorder="1" applyAlignment="1">
      <alignment vertical="center"/>
      <protection/>
    </xf>
    <xf numFmtId="3" fontId="54" fillId="0" borderId="101" xfId="60" applyNumberFormat="1" applyFont="1" applyBorder="1" applyAlignment="1">
      <alignment/>
      <protection/>
    </xf>
    <xf numFmtId="3" fontId="48" fillId="0" borderId="101" xfId="60" applyNumberFormat="1" applyFont="1" applyBorder="1" applyAlignment="1">
      <alignment/>
      <protection/>
    </xf>
    <xf numFmtId="3" fontId="48" fillId="0" borderId="102" xfId="60" applyNumberFormat="1" applyFont="1" applyBorder="1" applyAlignment="1">
      <alignment vertical="center"/>
      <protection/>
    </xf>
    <xf numFmtId="0" fontId="48" fillId="0" borderId="103" xfId="60" applyFont="1" applyBorder="1" applyAlignment="1">
      <alignment horizontal="center" vertical="center"/>
      <protection/>
    </xf>
    <xf numFmtId="0" fontId="48" fillId="0" borderId="7" xfId="60" applyFont="1" applyBorder="1" applyAlignment="1">
      <alignment horizontal="center"/>
      <protection/>
    </xf>
    <xf numFmtId="49" fontId="48" fillId="0" borderId="7" xfId="60" applyNumberFormat="1" applyFont="1" applyBorder="1" applyAlignment="1">
      <alignment horizontal="center" vertical="center"/>
      <protection/>
    </xf>
    <xf numFmtId="49" fontId="48" fillId="0" borderId="7" xfId="60" applyNumberFormat="1" applyFont="1" applyBorder="1" applyAlignment="1">
      <alignment horizontal="center"/>
      <protection/>
    </xf>
    <xf numFmtId="3" fontId="48" fillId="0" borderId="7" xfId="60" applyNumberFormat="1" applyFont="1" applyBorder="1" applyAlignment="1">
      <alignment/>
      <protection/>
    </xf>
    <xf numFmtId="3" fontId="48" fillId="0" borderId="110" xfId="60" applyNumberFormat="1" applyFont="1" applyBorder="1" applyAlignment="1">
      <alignment/>
      <protection/>
    </xf>
    <xf numFmtId="3" fontId="48" fillId="0" borderId="7" xfId="60" applyNumberFormat="1" applyFont="1" applyBorder="1" applyAlignment="1">
      <alignment vertical="center"/>
      <protection/>
    </xf>
    <xf numFmtId="3" fontId="54" fillId="0" borderId="7" xfId="60" applyNumberFormat="1" applyFont="1" applyBorder="1" applyAlignment="1">
      <alignment/>
      <protection/>
    </xf>
    <xf numFmtId="3" fontId="48" fillId="0" borderId="7" xfId="60" applyNumberFormat="1" applyFont="1" applyBorder="1" applyAlignment="1">
      <alignment/>
      <protection/>
    </xf>
    <xf numFmtId="3" fontId="48" fillId="0" borderId="104" xfId="60" applyNumberFormat="1" applyFont="1" applyBorder="1" applyAlignment="1">
      <alignment/>
      <protection/>
    </xf>
    <xf numFmtId="0" fontId="48" fillId="0" borderId="7" xfId="60" applyFont="1" applyBorder="1" applyAlignment="1">
      <alignment horizontal="center" vertical="center"/>
      <protection/>
    </xf>
    <xf numFmtId="3" fontId="48" fillId="0" borderId="7" xfId="60" applyNumberFormat="1" applyFont="1" applyBorder="1" applyAlignment="1">
      <alignment vertical="center"/>
      <protection/>
    </xf>
    <xf numFmtId="0" fontId="48" fillId="0" borderId="105" xfId="60" applyFont="1" applyBorder="1" applyAlignment="1">
      <alignment horizontal="center" vertical="center"/>
      <protection/>
    </xf>
    <xf numFmtId="0" fontId="48" fillId="0" borderId="106" xfId="60" applyFont="1" applyBorder="1" applyAlignment="1">
      <alignment horizontal="center"/>
      <protection/>
    </xf>
    <xf numFmtId="49" fontId="48" fillId="0" borderId="106" xfId="60" applyNumberFormat="1" applyFont="1" applyBorder="1" applyAlignment="1">
      <alignment horizontal="center"/>
      <protection/>
    </xf>
    <xf numFmtId="3" fontId="48" fillId="0" borderId="106" xfId="60" applyNumberFormat="1" applyFont="1" applyBorder="1" applyAlignment="1">
      <alignment/>
      <protection/>
    </xf>
    <xf numFmtId="3" fontId="48" fillId="0" borderId="106" xfId="60" applyNumberFormat="1" applyFont="1" applyBorder="1" applyAlignment="1">
      <alignment/>
      <protection/>
    </xf>
    <xf numFmtId="3" fontId="48" fillId="0" borderId="106" xfId="60" applyNumberFormat="1" applyFont="1" applyBorder="1" applyAlignment="1">
      <alignment vertical="center"/>
      <protection/>
    </xf>
    <xf numFmtId="3" fontId="48" fillId="0" borderId="106" xfId="60" applyNumberFormat="1" applyFont="1" applyBorder="1" applyAlignment="1">
      <alignment horizontal="left"/>
      <protection/>
    </xf>
    <xf numFmtId="3" fontId="48" fillId="0" borderId="107" xfId="60" applyNumberFormat="1" applyFont="1" applyBorder="1" applyAlignment="1">
      <alignment/>
      <protection/>
    </xf>
    <xf numFmtId="3" fontId="46" fillId="0" borderId="98" xfId="60" applyNumberFormat="1" applyFont="1" applyBorder="1" applyAlignment="1">
      <alignment vertical="center"/>
      <protection/>
    </xf>
    <xf numFmtId="0" fontId="45" fillId="0" borderId="98" xfId="60" applyFont="1" applyFill="1" applyBorder="1" applyAlignment="1">
      <alignment/>
      <protection/>
    </xf>
    <xf numFmtId="0" fontId="49" fillId="0" borderId="0" xfId="60" applyAlignment="1">
      <alignment/>
      <protection/>
    </xf>
    <xf numFmtId="3" fontId="49" fillId="0" borderId="0" xfId="60" applyNumberFormat="1">
      <alignment/>
      <protection/>
    </xf>
    <xf numFmtId="0" fontId="48" fillId="0" borderId="111" xfId="60" applyFont="1" applyBorder="1" applyAlignment="1">
      <alignment horizontal="center" vertical="center"/>
      <protection/>
    </xf>
    <xf numFmtId="49" fontId="48" fillId="0" borderId="7" xfId="60" applyNumberFormat="1" applyFont="1" applyBorder="1" applyAlignment="1">
      <alignment horizontal="center" vertical="center"/>
      <protection/>
    </xf>
    <xf numFmtId="3" fontId="48" fillId="0" borderId="110" xfId="60" applyNumberFormat="1" applyFont="1" applyBorder="1" applyAlignment="1">
      <alignment vertical="center"/>
      <protection/>
    </xf>
    <xf numFmtId="3" fontId="48" fillId="0" borderId="104" xfId="60" applyNumberFormat="1" applyFont="1" applyBorder="1" applyAlignment="1">
      <alignment vertical="center"/>
      <protection/>
    </xf>
    <xf numFmtId="3" fontId="48" fillId="0" borderId="7" xfId="60" applyNumberFormat="1" applyFont="1" applyFill="1" applyBorder="1" applyAlignment="1">
      <alignment vertical="center"/>
      <protection/>
    </xf>
    <xf numFmtId="0" fontId="48" fillId="0" borderId="103" xfId="60" applyFont="1" applyBorder="1" applyAlignment="1">
      <alignment horizontal="center" vertical="center"/>
      <protection/>
    </xf>
    <xf numFmtId="49" fontId="48" fillId="0" borderId="109" xfId="60" applyNumberFormat="1" applyFont="1" applyBorder="1" applyAlignment="1">
      <alignment horizontal="center" vertical="center"/>
      <protection/>
    </xf>
    <xf numFmtId="3" fontId="48" fillId="0" borderId="109" xfId="60" applyNumberFormat="1" applyFont="1" applyBorder="1" applyAlignment="1">
      <alignment vertical="center"/>
      <protection/>
    </xf>
    <xf numFmtId="3" fontId="48" fillId="0" borderId="109" xfId="60" applyNumberFormat="1" applyFont="1" applyFill="1" applyBorder="1" applyAlignment="1">
      <alignment vertical="center"/>
      <protection/>
    </xf>
    <xf numFmtId="3" fontId="48" fillId="0" borderId="112" xfId="60" applyNumberFormat="1" applyFont="1" applyBorder="1" applyAlignment="1">
      <alignment vertical="center"/>
      <protection/>
    </xf>
    <xf numFmtId="3" fontId="46" fillId="0" borderId="98" xfId="60" applyNumberFormat="1" applyFont="1" applyFill="1" applyBorder="1" applyAlignment="1">
      <alignment vertical="center"/>
      <protection/>
    </xf>
    <xf numFmtId="3" fontId="46" fillId="0" borderId="99" xfId="60" applyNumberFormat="1" applyFont="1" applyBorder="1" applyAlignment="1">
      <alignment vertical="center"/>
      <protection/>
    </xf>
    <xf numFmtId="0" fontId="48" fillId="0" borderId="100" xfId="60" applyFont="1" applyBorder="1" applyAlignment="1">
      <alignment horizontal="center"/>
      <protection/>
    </xf>
    <xf numFmtId="3" fontId="48" fillId="0" borderId="101" xfId="60" applyNumberFormat="1" applyFont="1" applyBorder="1">
      <alignment/>
      <protection/>
    </xf>
    <xf numFmtId="3" fontId="48" fillId="0" borderId="101" xfId="60" applyNumberFormat="1" applyFont="1" applyFill="1" applyBorder="1">
      <alignment/>
      <protection/>
    </xf>
    <xf numFmtId="3" fontId="48" fillId="0" borderId="101" xfId="60" applyNumberFormat="1" applyFont="1" applyBorder="1">
      <alignment/>
      <protection/>
    </xf>
    <xf numFmtId="3" fontId="48" fillId="0" borderId="102" xfId="60" applyNumberFormat="1" applyFont="1" applyBorder="1">
      <alignment/>
      <protection/>
    </xf>
    <xf numFmtId="0" fontId="48" fillId="0" borderId="103" xfId="60" applyFont="1" applyBorder="1" applyAlignment="1">
      <alignment horizontal="center"/>
      <protection/>
    </xf>
    <xf numFmtId="3" fontId="48" fillId="0" borderId="7" xfId="60" applyNumberFormat="1" applyFont="1" applyBorder="1">
      <alignment/>
      <protection/>
    </xf>
    <xf numFmtId="3" fontId="48" fillId="0" borderId="7" xfId="60" applyNumberFormat="1" applyFont="1" applyFill="1" applyBorder="1">
      <alignment/>
      <protection/>
    </xf>
    <xf numFmtId="3" fontId="48" fillId="0" borderId="7" xfId="60" applyNumberFormat="1" applyFont="1" applyBorder="1">
      <alignment/>
      <protection/>
    </xf>
    <xf numFmtId="3" fontId="48" fillId="0" borderId="104" xfId="60" applyNumberFormat="1" applyFont="1" applyBorder="1">
      <alignment/>
      <protection/>
    </xf>
    <xf numFmtId="0" fontId="48" fillId="0" borderId="111" xfId="60" applyFont="1" applyBorder="1" applyAlignment="1">
      <alignment horizontal="center"/>
      <protection/>
    </xf>
    <xf numFmtId="3" fontId="48" fillId="0" borderId="7" xfId="60" applyNumberFormat="1" applyFont="1" applyFill="1" applyBorder="1">
      <alignment/>
      <protection/>
    </xf>
    <xf numFmtId="0" fontId="59" fillId="0" borderId="103" xfId="60" applyFont="1" applyBorder="1" applyAlignment="1">
      <alignment horizontal="center"/>
      <protection/>
    </xf>
    <xf numFmtId="3" fontId="59" fillId="0" borderId="7" xfId="60" applyNumberFormat="1" applyFont="1" applyBorder="1">
      <alignment/>
      <protection/>
    </xf>
    <xf numFmtId="3" fontId="59" fillId="0" borderId="7" xfId="60" applyNumberFormat="1" applyFont="1" applyFill="1" applyBorder="1">
      <alignment/>
      <protection/>
    </xf>
    <xf numFmtId="3" fontId="59" fillId="0" borderId="7" xfId="60" applyNumberFormat="1" applyFont="1" applyBorder="1" applyAlignment="1">
      <alignment vertical="center"/>
      <protection/>
    </xf>
    <xf numFmtId="3" fontId="59" fillId="0" borderId="104" xfId="60" applyNumberFormat="1" applyFont="1" applyBorder="1">
      <alignment/>
      <protection/>
    </xf>
    <xf numFmtId="0" fontId="59" fillId="0" borderId="105" xfId="60" applyFont="1" applyBorder="1" applyAlignment="1">
      <alignment horizontal="center"/>
      <protection/>
    </xf>
    <xf numFmtId="0" fontId="52" fillId="0" borderId="0" xfId="60" applyFont="1">
      <alignment/>
      <protection/>
    </xf>
    <xf numFmtId="0" fontId="52" fillId="0" borderId="0" xfId="60" applyFont="1" applyBorder="1">
      <alignment/>
      <protection/>
    </xf>
    <xf numFmtId="0" fontId="52" fillId="0" borderId="0" xfId="60" applyFont="1" applyAlignment="1">
      <alignment vertical="center"/>
      <protection/>
    </xf>
    <xf numFmtId="0" fontId="49" fillId="0" borderId="0" xfId="60" applyFont="1" applyAlignment="1">
      <alignment horizontal="right" vertical="center"/>
      <protection/>
    </xf>
    <xf numFmtId="0" fontId="49" fillId="0" borderId="102" xfId="60" applyBorder="1">
      <alignment/>
      <protection/>
    </xf>
    <xf numFmtId="0" fontId="49" fillId="0" borderId="104" xfId="60" applyBorder="1">
      <alignment/>
      <protection/>
    </xf>
    <xf numFmtId="0" fontId="49" fillId="0" borderId="107" xfId="60" applyFont="1" applyBorder="1" applyAlignment="1">
      <alignment vertical="top"/>
      <protection/>
    </xf>
    <xf numFmtId="0" fontId="49" fillId="0" borderId="97" xfId="60" applyBorder="1" applyAlignment="1">
      <alignment horizontal="center" vertical="center"/>
      <protection/>
    </xf>
    <xf numFmtId="0" fontId="49" fillId="0" borderId="98" xfId="60" applyBorder="1" applyAlignment="1">
      <alignment horizontal="center" vertical="center"/>
      <protection/>
    </xf>
    <xf numFmtId="0" fontId="49" fillId="0" borderId="98" xfId="60" applyBorder="1" applyAlignment="1">
      <alignment horizontal="center"/>
      <protection/>
    </xf>
    <xf numFmtId="0" fontId="49" fillId="0" borderId="99" xfId="60" applyBorder="1">
      <alignment/>
      <protection/>
    </xf>
    <xf numFmtId="0" fontId="55" fillId="0" borderId="7" xfId="60" applyFont="1" applyBorder="1" applyAlignment="1">
      <alignment horizontal="center" vertical="center" wrapText="1"/>
      <protection/>
    </xf>
    <xf numFmtId="0" fontId="76" fillId="0" borderId="7" xfId="60" applyFont="1" applyBorder="1" applyAlignment="1">
      <alignment horizontal="center" vertical="center" wrapText="1"/>
      <protection/>
    </xf>
    <xf numFmtId="0" fontId="45" fillId="0" borderId="106" xfId="60" applyFont="1" applyBorder="1" applyAlignment="1">
      <alignment/>
      <protection/>
    </xf>
    <xf numFmtId="3" fontId="46" fillId="0" borderId="106" xfId="60" applyNumberFormat="1" applyFont="1" applyBorder="1" applyAlignment="1">
      <alignment vertical="center"/>
      <protection/>
    </xf>
    <xf numFmtId="3" fontId="46" fillId="0" borderId="107" xfId="60" applyNumberFormat="1" applyFont="1" applyBorder="1">
      <alignment/>
      <protection/>
    </xf>
    <xf numFmtId="0" fontId="48" fillId="0" borderId="101" xfId="60" applyFont="1" applyBorder="1" applyAlignment="1">
      <alignment horizontal="center"/>
      <protection/>
    </xf>
    <xf numFmtId="49" fontId="48" fillId="0" borderId="101" xfId="60" applyNumberFormat="1" applyFont="1" applyBorder="1" applyAlignment="1">
      <alignment horizontal="center"/>
      <protection/>
    </xf>
    <xf numFmtId="49" fontId="55" fillId="0" borderId="101" xfId="60" applyNumberFormat="1" applyFont="1" applyBorder="1" applyAlignment="1">
      <alignment horizontal="center"/>
      <protection/>
    </xf>
    <xf numFmtId="3" fontId="46" fillId="0" borderId="106" xfId="60" applyNumberFormat="1" applyFont="1" applyBorder="1">
      <alignment/>
      <protection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0" fillId="0" borderId="118" xfId="0" applyBorder="1" applyAlignment="1">
      <alignment/>
    </xf>
    <xf numFmtId="0" fontId="0" fillId="0" borderId="0" xfId="0" applyBorder="1" applyAlignment="1">
      <alignment/>
    </xf>
    <xf numFmtId="49" fontId="0" fillId="0" borderId="118" xfId="0" applyNumberFormat="1" applyFont="1" applyBorder="1" applyAlignment="1">
      <alignment horizontal="center" vertical="center"/>
    </xf>
    <xf numFmtId="0" fontId="11" fillId="0" borderId="118" xfId="0" applyFont="1" applyBorder="1" applyAlignment="1">
      <alignment/>
    </xf>
    <xf numFmtId="3" fontId="11" fillId="0" borderId="118" xfId="0" applyNumberFormat="1" applyFont="1" applyBorder="1" applyAlignment="1">
      <alignment/>
    </xf>
    <xf numFmtId="49" fontId="0" fillId="0" borderId="1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11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0" fillId="0" borderId="115" xfId="0" applyBorder="1" applyAlignment="1">
      <alignment/>
    </xf>
    <xf numFmtId="0" fontId="11" fillId="0" borderId="114" xfId="0" applyFont="1" applyBorder="1" applyAlignment="1">
      <alignment/>
    </xf>
    <xf numFmtId="3" fontId="11" fillId="0" borderId="114" xfId="0" applyNumberFormat="1" applyFont="1" applyBorder="1" applyAlignment="1">
      <alignment/>
    </xf>
    <xf numFmtId="0" fontId="11" fillId="0" borderId="115" xfId="0" applyFont="1" applyBorder="1" applyAlignment="1">
      <alignment/>
    </xf>
    <xf numFmtId="3" fontId="11" fillId="0" borderId="115" xfId="0" applyNumberFormat="1" applyFont="1" applyBorder="1" applyAlignment="1">
      <alignment/>
    </xf>
    <xf numFmtId="0" fontId="0" fillId="0" borderId="118" xfId="0" applyBorder="1" applyAlignment="1">
      <alignment horizontal="center" vertical="center"/>
    </xf>
    <xf numFmtId="0" fontId="0" fillId="0" borderId="122" xfId="0" applyFont="1" applyBorder="1" applyAlignment="1">
      <alignment horizontal="left"/>
    </xf>
    <xf numFmtId="0" fontId="0" fillId="0" borderId="123" xfId="0" applyBorder="1" applyAlignment="1">
      <alignment horizontal="left"/>
    </xf>
    <xf numFmtId="0" fontId="11" fillId="0" borderId="116" xfId="0" applyFont="1" applyBorder="1" applyAlignment="1">
      <alignment/>
    </xf>
    <xf numFmtId="3" fontId="11" fillId="0" borderId="116" xfId="0" applyNumberFormat="1" applyFon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12" fillId="0" borderId="10" xfId="0" applyFont="1" applyBorder="1" applyAlignment="1">
      <alignment wrapText="1"/>
    </xf>
    <xf numFmtId="3" fontId="3" fillId="26" borderId="10" xfId="0" applyNumberFormat="1" applyFont="1" applyFill="1" applyBorder="1" applyAlignment="1">
      <alignment horizontal="right" vertical="center"/>
    </xf>
    <xf numFmtId="3" fontId="7" fillId="27" borderId="10" xfId="0" applyNumberFormat="1" applyFont="1" applyFill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0" fontId="0" fillId="27" borderId="43" xfId="0" applyFont="1" applyFill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5" fillId="26" borderId="1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/>
    </xf>
    <xf numFmtId="3" fontId="5" fillId="27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3" fontId="3" fillId="27" borderId="0" xfId="0" applyNumberFormat="1" applyFont="1" applyFill="1" applyAlignment="1">
      <alignment horizontal="left"/>
    </xf>
    <xf numFmtId="3" fontId="3" fillId="27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3" fontId="3" fillId="24" borderId="21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right"/>
    </xf>
    <xf numFmtId="49" fontId="62" fillId="28" borderId="15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3" fontId="32" fillId="0" borderId="10" xfId="0" applyNumberFormat="1" applyFont="1" applyBorder="1" applyAlignment="1">
      <alignment horizontal="right"/>
    </xf>
    <xf numFmtId="3" fontId="3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57" fillId="0" borderId="10" xfId="0" applyFont="1" applyFill="1" applyBorder="1" applyAlignment="1">
      <alignment horizontal="left"/>
    </xf>
    <xf numFmtId="3" fontId="56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right"/>
    </xf>
    <xf numFmtId="0" fontId="51" fillId="0" borderId="10" xfId="0" applyFont="1" applyFill="1" applyBorder="1" applyAlignment="1">
      <alignment horizontal="left"/>
    </xf>
    <xf numFmtId="3" fontId="3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/>
    </xf>
    <xf numFmtId="3" fontId="32" fillId="0" borderId="10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3" fontId="30" fillId="0" borderId="10" xfId="0" applyNumberFormat="1" applyFont="1" applyBorder="1" applyAlignment="1">
      <alignment/>
    </xf>
    <xf numFmtId="3" fontId="32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shrinkToFit="1"/>
    </xf>
    <xf numFmtId="0" fontId="3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3" fontId="30" fillId="0" borderId="16" xfId="0" applyNumberFormat="1" applyFont="1" applyFill="1" applyBorder="1" applyAlignment="1">
      <alignment/>
    </xf>
    <xf numFmtId="3" fontId="32" fillId="0" borderId="16" xfId="0" applyNumberFormat="1" applyFont="1" applyBorder="1" applyAlignment="1">
      <alignment/>
    </xf>
    <xf numFmtId="3" fontId="30" fillId="0" borderId="16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3" fontId="30" fillId="0" borderId="12" xfId="0" applyNumberFormat="1" applyFont="1" applyFill="1" applyBorder="1" applyAlignment="1">
      <alignment/>
    </xf>
    <xf numFmtId="3" fontId="32" fillId="0" borderId="12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3" fontId="62" fillId="0" borderId="10" xfId="0" applyNumberFormat="1" applyFont="1" applyBorder="1" applyAlignment="1">
      <alignment/>
    </xf>
    <xf numFmtId="0" fontId="51" fillId="0" borderId="11" xfId="0" applyFont="1" applyBorder="1" applyAlignment="1">
      <alignment horizontal="left"/>
    </xf>
    <xf numFmtId="3" fontId="62" fillId="0" borderId="11" xfId="0" applyNumberFormat="1" applyFont="1" applyBorder="1" applyAlignment="1">
      <alignment/>
    </xf>
    <xf numFmtId="0" fontId="57" fillId="0" borderId="10" xfId="0" applyFont="1" applyBorder="1" applyAlignment="1">
      <alignment horizontal="left"/>
    </xf>
    <xf numFmtId="3" fontId="62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45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/>
    </xf>
    <xf numFmtId="3" fontId="57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shrinkToFit="1"/>
    </xf>
    <xf numFmtId="0" fontId="57" fillId="0" borderId="10" xfId="0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1" xfId="0" applyFont="1" applyBorder="1" applyAlignment="1">
      <alignment horizontal="left"/>
    </xf>
    <xf numFmtId="0" fontId="12" fillId="0" borderId="14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3" fontId="30" fillId="0" borderId="16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3" fontId="45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right"/>
    </xf>
    <xf numFmtId="0" fontId="69" fillId="0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shrinkToFit="1"/>
    </xf>
    <xf numFmtId="0" fontId="12" fillId="0" borderId="10" xfId="0" applyFont="1" applyBorder="1" applyAlignment="1">
      <alignment wrapText="1"/>
    </xf>
    <xf numFmtId="3" fontId="62" fillId="28" borderId="15" xfId="0" applyNumberFormat="1" applyFont="1" applyFill="1" applyBorder="1" applyAlignment="1" quotePrefix="1">
      <alignment horizontal="center"/>
    </xf>
    <xf numFmtId="3" fontId="78" fillId="0" borderId="10" xfId="0" applyNumberFormat="1" applyFont="1" applyBorder="1" applyAlignment="1">
      <alignment/>
    </xf>
    <xf numFmtId="3" fontId="57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0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shrinkToFit="1"/>
    </xf>
    <xf numFmtId="0" fontId="57" fillId="0" borderId="11" xfId="0" applyFont="1" applyBorder="1" applyAlignment="1">
      <alignment horizontal="left"/>
    </xf>
    <xf numFmtId="3" fontId="51" fillId="0" borderId="11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0" fontId="51" fillId="0" borderId="16" xfId="0" applyFont="1" applyBorder="1" applyAlignment="1">
      <alignment horizontal="left"/>
    </xf>
    <xf numFmtId="0" fontId="57" fillId="0" borderId="16" xfId="0" applyFont="1" applyBorder="1" applyAlignment="1">
      <alignment horizontal="left"/>
    </xf>
    <xf numFmtId="3" fontId="51" fillId="0" borderId="16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1" fillId="0" borderId="12" xfId="0" applyFont="1" applyBorder="1" applyAlignment="1">
      <alignment horizontal="left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8" fillId="28" borderId="17" xfId="0" applyNumberFormat="1" applyFont="1" applyFill="1" applyBorder="1" applyAlignment="1">
      <alignment horizontal="center"/>
    </xf>
    <xf numFmtId="3" fontId="45" fillId="28" borderId="0" xfId="0" applyNumberFormat="1" applyFont="1" applyFill="1" applyBorder="1" applyAlignment="1">
      <alignment horizontal="center"/>
    </xf>
    <xf numFmtId="3" fontId="79" fillId="0" borderId="10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3" fillId="0" borderId="0" xfId="0" applyFont="1" applyAlignment="1">
      <alignment horizontal="left" shrinkToFit="1"/>
    </xf>
    <xf numFmtId="3" fontId="32" fillId="0" borderId="0" xfId="0" applyNumberFormat="1" applyFont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shrinkToFit="1"/>
    </xf>
    <xf numFmtId="0" fontId="62" fillId="0" borderId="19" xfId="0" applyFont="1" applyBorder="1" applyAlignment="1">
      <alignment horizontal="right"/>
    </xf>
    <xf numFmtId="0" fontId="3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45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3" fontId="32" fillId="0" borderId="0" xfId="0" applyNumberFormat="1" applyFont="1" applyFill="1" applyAlignment="1">
      <alignment/>
    </xf>
    <xf numFmtId="3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50" fillId="0" borderId="19" xfId="0" applyFont="1" applyBorder="1" applyAlignment="1">
      <alignment horizontal="right"/>
    </xf>
    <xf numFmtId="49" fontId="10" fillId="4" borderId="37" xfId="0" applyNumberFormat="1" applyFont="1" applyFill="1" applyBorder="1" applyAlignment="1">
      <alignment horizontal="center"/>
    </xf>
    <xf numFmtId="49" fontId="50" fillId="4" borderId="10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 shrinkToFit="1"/>
    </xf>
    <xf numFmtId="3" fontId="32" fillId="0" borderId="13" xfId="0" applyNumberFormat="1" applyFont="1" applyBorder="1" applyAlignment="1">
      <alignment horizontal="right"/>
    </xf>
    <xf numFmtId="0" fontId="45" fillId="0" borderId="10" xfId="0" applyFont="1" applyFill="1" applyBorder="1" applyAlignment="1">
      <alignment horizontal="center" shrinkToFit="1"/>
    </xf>
    <xf numFmtId="3" fontId="51" fillId="0" borderId="10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 horizontal="right"/>
    </xf>
    <xf numFmtId="3" fontId="32" fillId="0" borderId="10" xfId="0" applyNumberFormat="1" applyFont="1" applyFill="1" applyBorder="1" applyAlignment="1">
      <alignment horizontal="right"/>
    </xf>
    <xf numFmtId="3" fontId="3" fillId="26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2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0" fillId="0" borderId="10" xfId="0" applyNumberFormat="1" applyFont="1" applyFill="1" applyBorder="1" applyAlignment="1">
      <alignment horizontal="right"/>
    </xf>
    <xf numFmtId="3" fontId="30" fillId="0" borderId="13" xfId="0" applyNumberFormat="1" applyFont="1" applyFill="1" applyBorder="1" applyAlignment="1">
      <alignment horizontal="right"/>
    </xf>
    <xf numFmtId="3" fontId="3" fillId="26" borderId="13" xfId="0" applyNumberFormat="1" applyFont="1" applyFill="1" applyBorder="1" applyAlignment="1">
      <alignment horizontal="right"/>
    </xf>
    <xf numFmtId="3" fontId="30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12" fillId="26" borderId="10" xfId="0" applyNumberFormat="1" applyFont="1" applyFill="1" applyBorder="1" applyAlignment="1">
      <alignment horizontal="right"/>
    </xf>
    <xf numFmtId="3" fontId="32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3" fontId="10" fillId="0" borderId="16" xfId="0" applyNumberFormat="1" applyFont="1" applyBorder="1" applyAlignment="1">
      <alignment horizontal="right"/>
    </xf>
    <xf numFmtId="0" fontId="10" fillId="26" borderId="0" xfId="0" applyFont="1" applyFill="1" applyBorder="1" applyAlignment="1">
      <alignment horizontal="left"/>
    </xf>
    <xf numFmtId="0" fontId="10" fillId="26" borderId="10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50" fillId="0" borderId="12" xfId="0" applyFont="1" applyBorder="1" applyAlignment="1">
      <alignment horizontal="left" shrinkToFit="1"/>
    </xf>
    <xf numFmtId="3" fontId="30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left"/>
    </xf>
    <xf numFmtId="3" fontId="50" fillId="0" borderId="10" xfId="0" applyNumberFormat="1" applyFont="1" applyBorder="1" applyAlignment="1">
      <alignment horizontal="right"/>
    </xf>
    <xf numFmtId="0" fontId="50" fillId="0" borderId="16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58" fillId="0" borderId="16" xfId="0" applyFont="1" applyBorder="1" applyAlignment="1">
      <alignment horizontal="left" shrinkToFit="1"/>
    </xf>
    <xf numFmtId="3" fontId="58" fillId="0" borderId="16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0" fontId="50" fillId="0" borderId="12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12" xfId="0" applyFont="1" applyBorder="1" applyAlignment="1">
      <alignment horizontal="left" shrinkToFit="1"/>
    </xf>
    <xf numFmtId="3" fontId="58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0" fontId="50" fillId="0" borderId="0" xfId="0" applyFont="1" applyBorder="1" applyAlignment="1">
      <alignment horizontal="left" shrinkToFit="1"/>
    </xf>
    <xf numFmtId="0" fontId="14" fillId="0" borderId="0" xfId="0" applyFont="1" applyBorder="1" applyAlignment="1">
      <alignment horizontal="left" shrinkToFit="1"/>
    </xf>
    <xf numFmtId="3" fontId="5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32" fillId="0" borderId="14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left"/>
    </xf>
    <xf numFmtId="3" fontId="56" fillId="0" borderId="10" xfId="0" applyNumberFormat="1" applyFont="1" applyFill="1" applyBorder="1" applyAlignment="1">
      <alignment horizontal="right"/>
    </xf>
    <xf numFmtId="3" fontId="56" fillId="0" borderId="10" xfId="0" applyNumberFormat="1" applyFont="1" applyBorder="1" applyAlignment="1">
      <alignment horizontal="right"/>
    </xf>
    <xf numFmtId="3" fontId="62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shrinkToFit="1"/>
    </xf>
    <xf numFmtId="3" fontId="30" fillId="0" borderId="11" xfId="0" applyNumberFormat="1" applyFont="1" applyFill="1" applyBorder="1" applyAlignment="1">
      <alignment horizontal="right"/>
    </xf>
    <xf numFmtId="3" fontId="62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4" xfId="0" applyFont="1" applyFill="1" applyBorder="1" applyAlignment="1">
      <alignment/>
    </xf>
    <xf numFmtId="3" fontId="32" fillId="0" borderId="11" xfId="0" applyNumberFormat="1" applyFont="1" applyFill="1" applyBorder="1" applyAlignment="1">
      <alignment horizontal="right"/>
    </xf>
    <xf numFmtId="3" fontId="62" fillId="0" borderId="13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3" fontId="50" fillId="0" borderId="13" xfId="0" applyNumberFormat="1" applyFont="1" applyBorder="1" applyAlignment="1">
      <alignment horizontal="right"/>
    </xf>
    <xf numFmtId="0" fontId="10" fillId="0" borderId="10" xfId="0" applyFont="1" applyBorder="1" applyAlignment="1">
      <alignment shrinkToFit="1"/>
    </xf>
    <xf numFmtId="3" fontId="30" fillId="0" borderId="16" xfId="0" applyNumberFormat="1" applyFont="1" applyBorder="1" applyAlignment="1">
      <alignment horizontal="right"/>
    </xf>
    <xf numFmtId="3" fontId="62" fillId="0" borderId="16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62" fillId="0" borderId="0" xfId="0" applyNumberFormat="1" applyFont="1" applyBorder="1" applyAlignment="1">
      <alignment horizontal="right"/>
    </xf>
    <xf numFmtId="3" fontId="62" fillId="0" borderId="12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0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/>
    </xf>
    <xf numFmtId="3" fontId="32" fillId="0" borderId="16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62" fillId="0" borderId="0" xfId="0" applyFont="1" applyAlignment="1">
      <alignment horizontal="center"/>
    </xf>
    <xf numFmtId="3" fontId="62" fillId="0" borderId="0" xfId="0" applyNumberFormat="1" applyFont="1" applyAlignment="1">
      <alignment horizontal="center"/>
    </xf>
    <xf numFmtId="3" fontId="62" fillId="0" borderId="0" xfId="0" applyNumberFormat="1" applyFont="1" applyAlignment="1">
      <alignment horizontal="right"/>
    </xf>
    <xf numFmtId="3" fontId="62" fillId="0" borderId="18" xfId="0" applyNumberFormat="1" applyFont="1" applyBorder="1" applyAlignment="1">
      <alignment horizontal="center"/>
    </xf>
    <xf numFmtId="3" fontId="62" fillId="0" borderId="17" xfId="0" applyNumberFormat="1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3" fontId="62" fillId="0" borderId="19" xfId="0" applyNumberFormat="1" applyFont="1" applyBorder="1" applyAlignment="1">
      <alignment horizontal="center"/>
    </xf>
    <xf numFmtId="3" fontId="62" fillId="0" borderId="37" xfId="0" applyNumberFormat="1" applyFont="1" applyBorder="1" applyAlignment="1">
      <alignment horizontal="center"/>
    </xf>
    <xf numFmtId="0" fontId="8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2" fillId="0" borderId="10" xfId="0" applyFont="1" applyBorder="1" applyAlignment="1">
      <alignment horizontal="center" shrinkToFit="1"/>
    </xf>
    <xf numFmtId="0" fontId="6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/>
    </xf>
    <xf numFmtId="3" fontId="62" fillId="0" borderId="10" xfId="0" applyNumberFormat="1" applyFont="1" applyFill="1" applyBorder="1" applyAlignment="1">
      <alignment horizontal="center"/>
    </xf>
    <xf numFmtId="3" fontId="62" fillId="0" borderId="10" xfId="0" applyNumberFormat="1" applyFont="1" applyFill="1" applyBorder="1" applyAlignment="1">
      <alignment horizontal="right"/>
    </xf>
    <xf numFmtId="0" fontId="62" fillId="0" borderId="10" xfId="0" applyFont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3" fontId="62" fillId="0" borderId="10" xfId="0" applyNumberFormat="1" applyFont="1" applyFill="1" applyBorder="1" applyAlignment="1">
      <alignment horizontal="left"/>
    </xf>
    <xf numFmtId="0" fontId="32" fillId="0" borderId="10" xfId="0" applyFont="1" applyBorder="1" applyAlignment="1">
      <alignment horizontal="right"/>
    </xf>
    <xf numFmtId="0" fontId="56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30" fillId="0" borderId="10" xfId="0" applyFont="1" applyBorder="1" applyAlignment="1">
      <alignment horizontal="right"/>
    </xf>
    <xf numFmtId="3" fontId="62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3" fontId="32" fillId="0" borderId="10" xfId="0" applyNumberFormat="1" applyFont="1" applyFill="1" applyBorder="1" applyAlignment="1">
      <alignment horizontal="left"/>
    </xf>
    <xf numFmtId="3" fontId="32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left" shrinkToFit="1"/>
    </xf>
    <xf numFmtId="0" fontId="5" fillId="0" borderId="20" xfId="0" applyFont="1" applyFill="1" applyBorder="1" applyAlignment="1">
      <alignment horizontal="left" shrinkToFit="1"/>
    </xf>
    <xf numFmtId="3" fontId="32" fillId="0" borderId="10" xfId="0" applyNumberFormat="1" applyFont="1" applyBorder="1" applyAlignment="1">
      <alignment shrinkToFit="1"/>
    </xf>
    <xf numFmtId="3" fontId="81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shrinkToFit="1"/>
    </xf>
    <xf numFmtId="0" fontId="30" fillId="0" borderId="20" xfId="0" applyFont="1" applyFill="1" applyBorder="1" applyAlignment="1">
      <alignment horizontal="left" shrinkToFit="1"/>
    </xf>
    <xf numFmtId="3" fontId="30" fillId="0" borderId="10" xfId="0" applyNumberFormat="1" applyFont="1" applyBorder="1" applyAlignment="1">
      <alignment shrinkToFit="1"/>
    </xf>
    <xf numFmtId="0" fontId="30" fillId="0" borderId="20" xfId="0" applyFont="1" applyFill="1" applyBorder="1" applyAlignment="1">
      <alignment horizontal="left"/>
    </xf>
    <xf numFmtId="0" fontId="30" fillId="0" borderId="21" xfId="0" applyFont="1" applyFill="1" applyBorder="1" applyAlignment="1">
      <alignment horizontal="left" shrinkToFit="1"/>
    </xf>
    <xf numFmtId="0" fontId="30" fillId="0" borderId="13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3" fontId="32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" fontId="62" fillId="0" borderId="0" xfId="0" applyNumberFormat="1" applyFont="1" applyBorder="1" applyAlignment="1">
      <alignment horizontal="center"/>
    </xf>
    <xf numFmtId="3" fontId="32" fillId="0" borderId="0" xfId="0" applyNumberFormat="1" applyFont="1" applyBorder="1" applyAlignment="1">
      <alignment horizontal="right"/>
    </xf>
    <xf numFmtId="2" fontId="32" fillId="0" borderId="10" xfId="0" applyNumberFormat="1" applyFont="1" applyFill="1" applyBorder="1" applyAlignment="1">
      <alignment horizontal="left" shrinkToFit="1"/>
    </xf>
    <xf numFmtId="3" fontId="62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3" fontId="56" fillId="0" borderId="10" xfId="0" applyNumberFormat="1" applyFont="1" applyBorder="1" applyAlignment="1">
      <alignment horizontal="right"/>
    </xf>
    <xf numFmtId="0" fontId="62" fillId="0" borderId="16" xfId="0" applyFont="1" applyBorder="1" applyAlignment="1">
      <alignment horizontal="left"/>
    </xf>
    <xf numFmtId="3" fontId="62" fillId="0" borderId="16" xfId="0" applyNumberFormat="1" applyFont="1" applyBorder="1" applyAlignment="1">
      <alignment horizontal="left"/>
    </xf>
    <xf numFmtId="3" fontId="62" fillId="0" borderId="16" xfId="0" applyNumberFormat="1" applyFont="1" applyBorder="1" applyAlignment="1">
      <alignment horizontal="right"/>
    </xf>
    <xf numFmtId="3" fontId="62" fillId="0" borderId="16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left"/>
    </xf>
    <xf numFmtId="3" fontId="62" fillId="0" borderId="0" xfId="0" applyNumberFormat="1" applyFont="1" applyBorder="1" applyAlignment="1">
      <alignment horizontal="left"/>
    </xf>
    <xf numFmtId="3" fontId="62" fillId="0" borderId="0" xfId="0" applyNumberFormat="1" applyFont="1" applyBorder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0" fontId="62" fillId="0" borderId="12" xfId="0" applyFont="1" applyBorder="1" applyAlignment="1">
      <alignment horizontal="left"/>
    </xf>
    <xf numFmtId="3" fontId="62" fillId="0" borderId="12" xfId="0" applyNumberFormat="1" applyFont="1" applyBorder="1" applyAlignment="1">
      <alignment horizontal="left"/>
    </xf>
    <xf numFmtId="3" fontId="62" fillId="0" borderId="12" xfId="0" applyNumberFormat="1" applyFont="1" applyBorder="1" applyAlignment="1">
      <alignment horizontal="right"/>
    </xf>
    <xf numFmtId="3" fontId="62" fillId="0" borderId="12" xfId="0" applyNumberFormat="1" applyFont="1" applyFill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3" fontId="32" fillId="0" borderId="10" xfId="0" applyNumberFormat="1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3" fontId="62" fillId="0" borderId="10" xfId="0" applyNumberFormat="1" applyFont="1" applyBorder="1" applyAlignment="1">
      <alignment horizontal="left"/>
    </xf>
    <xf numFmtId="9" fontId="62" fillId="0" borderId="10" xfId="0" applyNumberFormat="1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3" fontId="32" fillId="0" borderId="0" xfId="0" applyNumberFormat="1" applyFont="1" applyBorder="1" applyAlignment="1">
      <alignment horizontal="left"/>
    </xf>
    <xf numFmtId="0" fontId="30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30" fillId="0" borderId="10" xfId="0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shrinkToFit="1"/>
    </xf>
    <xf numFmtId="0" fontId="30" fillId="0" borderId="10" xfId="0" applyFont="1" applyFill="1" applyBorder="1" applyAlignment="1">
      <alignment shrinkToFit="1"/>
    </xf>
    <xf numFmtId="0" fontId="62" fillId="0" borderId="10" xfId="0" applyFont="1" applyFill="1" applyBorder="1" applyAlignment="1">
      <alignment horizontal="right"/>
    </xf>
    <xf numFmtId="0" fontId="62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3" fontId="6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0" fontId="32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3" xfId="0" applyFont="1" applyBorder="1" applyAlignment="1">
      <alignment/>
    </xf>
    <xf numFmtId="0" fontId="62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3" fontId="62" fillId="0" borderId="10" xfId="0" applyNumberFormat="1" applyFont="1" applyBorder="1" applyAlignment="1">
      <alignment/>
    </xf>
    <xf numFmtId="0" fontId="30" fillId="0" borderId="11" xfId="0" applyFont="1" applyBorder="1" applyAlignment="1">
      <alignment horizontal="right"/>
    </xf>
    <xf numFmtId="0" fontId="30" fillId="0" borderId="14" xfId="0" applyFont="1" applyFill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2" fillId="0" borderId="11" xfId="0" applyNumberFormat="1" applyFont="1" applyBorder="1" applyAlignment="1">
      <alignment horizontal="right"/>
    </xf>
    <xf numFmtId="0" fontId="32" fillId="0" borderId="16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1" fillId="0" borderId="0" xfId="59">
      <alignment/>
      <protection/>
    </xf>
    <xf numFmtId="3" fontId="1" fillId="0" borderId="0" xfId="59" applyNumberFormat="1">
      <alignment/>
      <protection/>
    </xf>
    <xf numFmtId="3" fontId="1" fillId="0" borderId="0" xfId="59" applyNumberFormat="1" applyFill="1">
      <alignment/>
      <protection/>
    </xf>
    <xf numFmtId="0" fontId="1" fillId="0" borderId="0" xfId="59" applyFill="1">
      <alignment/>
      <protection/>
    </xf>
    <xf numFmtId="3" fontId="1" fillId="0" borderId="0" xfId="59" applyNumberFormat="1" applyFont="1">
      <alignment/>
      <protection/>
    </xf>
    <xf numFmtId="0" fontId="1" fillId="0" borderId="0" xfId="59" applyFont="1">
      <alignment/>
      <protection/>
    </xf>
    <xf numFmtId="0" fontId="1" fillId="0" borderId="0" xfId="59" applyFont="1" applyFill="1">
      <alignment/>
      <protection/>
    </xf>
    <xf numFmtId="3" fontId="1" fillId="0" borderId="0" xfId="59" applyNumberFormat="1" applyFont="1" applyBorder="1" applyAlignment="1">
      <alignment horizontal="center"/>
      <protection/>
    </xf>
    <xf numFmtId="3" fontId="1" fillId="0" borderId="0" xfId="59" applyNumberFormat="1" applyFont="1" applyFill="1" applyBorder="1" applyAlignment="1">
      <alignment vertical="center"/>
      <protection/>
    </xf>
    <xf numFmtId="3" fontId="62" fillId="6" borderId="11" xfId="59" applyNumberFormat="1" applyFont="1" applyFill="1" applyBorder="1" applyAlignment="1">
      <alignment horizontal="center" vertical="center"/>
      <protection/>
    </xf>
    <xf numFmtId="3" fontId="62" fillId="26" borderId="11" xfId="59" applyNumberFormat="1" applyFont="1" applyFill="1" applyBorder="1" applyAlignment="1">
      <alignment horizontal="center" vertical="center" wrapText="1"/>
      <protection/>
    </xf>
    <xf numFmtId="3" fontId="62" fillId="6" borderId="11" xfId="59" applyNumberFormat="1" applyFont="1" applyFill="1" applyBorder="1" applyAlignment="1">
      <alignment horizontal="center" vertical="center" wrapText="1"/>
      <protection/>
    </xf>
    <xf numFmtId="3" fontId="62" fillId="26" borderId="11" xfId="59" applyNumberFormat="1" applyFont="1" applyFill="1" applyBorder="1" applyAlignment="1">
      <alignment horizontal="center" vertical="center"/>
      <protection/>
    </xf>
    <xf numFmtId="3" fontId="1" fillId="6" borderId="10" xfId="59" applyNumberFormat="1" applyFont="1" applyFill="1" applyBorder="1" applyAlignment="1">
      <alignment horizontal="center"/>
      <protection/>
    </xf>
    <xf numFmtId="3" fontId="1" fillId="26" borderId="10" xfId="59" applyNumberFormat="1" applyFont="1" applyFill="1" applyBorder="1" applyAlignment="1">
      <alignment horizontal="center"/>
      <protection/>
    </xf>
    <xf numFmtId="0" fontId="1" fillId="0" borderId="0" xfId="59" applyBorder="1" applyAlignment="1">
      <alignment/>
      <protection/>
    </xf>
    <xf numFmtId="3" fontId="62" fillId="6" borderId="15" xfId="59" applyNumberFormat="1" applyFont="1" applyFill="1" applyBorder="1" applyAlignment="1">
      <alignment horizontal="center" vertical="center"/>
      <protection/>
    </xf>
    <xf numFmtId="3" fontId="62" fillId="26" borderId="15" xfId="59" applyNumberFormat="1" applyFont="1" applyFill="1" applyBorder="1" applyAlignment="1">
      <alignment horizontal="center" vertical="center" shrinkToFit="1"/>
      <protection/>
    </xf>
    <xf numFmtId="3" fontId="62" fillId="6" borderId="15" xfId="59" applyNumberFormat="1" applyFont="1" applyFill="1" applyBorder="1" applyAlignment="1">
      <alignment horizontal="center" vertical="center" shrinkToFit="1"/>
      <protection/>
    </xf>
    <xf numFmtId="3" fontId="62" fillId="26" borderId="15" xfId="59" applyNumberFormat="1" applyFont="1" applyFill="1" applyBorder="1" applyAlignment="1">
      <alignment horizontal="center" vertical="center" shrinkToFit="1"/>
      <protection/>
    </xf>
    <xf numFmtId="3" fontId="62" fillId="6" borderId="15" xfId="59" applyNumberFormat="1" applyFont="1" applyFill="1" applyBorder="1" applyAlignment="1">
      <alignment horizontal="center" vertical="center" shrinkToFit="1"/>
      <protection/>
    </xf>
    <xf numFmtId="3" fontId="30" fillId="6" borderId="10" xfId="59" applyNumberFormat="1" applyFont="1" applyFill="1" applyBorder="1" applyAlignment="1">
      <alignment horizontal="center"/>
      <protection/>
    </xf>
    <xf numFmtId="3" fontId="30" fillId="26" borderId="10" xfId="59" applyNumberFormat="1" applyFont="1" applyFill="1" applyBorder="1" applyAlignment="1">
      <alignment horizontal="center"/>
      <protection/>
    </xf>
    <xf numFmtId="0" fontId="1" fillId="0" borderId="0" xfId="59" applyBorder="1" applyAlignment="1">
      <alignment horizontal="center"/>
      <protection/>
    </xf>
    <xf numFmtId="0" fontId="62" fillId="0" borderId="19" xfId="59" applyFont="1" applyBorder="1" applyAlignment="1">
      <alignment horizontal="right"/>
      <protection/>
    </xf>
    <xf numFmtId="49" fontId="62" fillId="0" borderId="10" xfId="59" applyNumberFormat="1" applyFont="1" applyBorder="1" applyAlignment="1">
      <alignment horizontal="center"/>
      <protection/>
    </xf>
    <xf numFmtId="49" fontId="62" fillId="0" borderId="15" xfId="59" applyNumberFormat="1" applyFont="1" applyBorder="1" applyAlignment="1">
      <alignment horizontal="center"/>
      <protection/>
    </xf>
    <xf numFmtId="3" fontId="1" fillId="4" borderId="15" xfId="59" applyNumberFormat="1" applyFont="1" applyFill="1" applyBorder="1">
      <alignment/>
      <protection/>
    </xf>
    <xf numFmtId="49" fontId="62" fillId="0" borderId="20" xfId="59" applyNumberFormat="1" applyFont="1" applyBorder="1" applyAlignment="1">
      <alignment horizontal="center"/>
      <protection/>
    </xf>
    <xf numFmtId="3" fontId="30" fillId="4" borderId="10" xfId="59" applyNumberFormat="1" applyFont="1" applyFill="1" applyBorder="1" applyAlignment="1">
      <alignment/>
      <protection/>
    </xf>
    <xf numFmtId="0" fontId="30" fillId="0" borderId="0" xfId="59" applyFont="1" applyBorder="1" applyAlignment="1">
      <alignment/>
      <protection/>
    </xf>
    <xf numFmtId="3" fontId="5" fillId="0" borderId="0" xfId="59" applyNumberFormat="1" applyFont="1" applyBorder="1" applyAlignment="1">
      <alignment horizontal="center"/>
      <protection/>
    </xf>
    <xf numFmtId="0" fontId="1" fillId="0" borderId="10" xfId="59" applyFont="1" applyBorder="1" applyAlignment="1">
      <alignment horizontal="center"/>
      <protection/>
    </xf>
    <xf numFmtId="0" fontId="30" fillId="0" borderId="10" xfId="59" applyFont="1" applyFill="1" applyBorder="1" applyAlignment="1">
      <alignment horizontal="right" shrinkToFit="1"/>
      <protection/>
    </xf>
    <xf numFmtId="3" fontId="30" fillId="0" borderId="10" xfId="59" applyNumberFormat="1" applyFont="1" applyFill="1" applyBorder="1" applyAlignment="1">
      <alignment horizontal="center"/>
      <protection/>
    </xf>
    <xf numFmtId="3" fontId="30" fillId="4" borderId="20" xfId="59" applyNumberFormat="1" applyFont="1" applyFill="1" applyBorder="1" applyAlignment="1">
      <alignment horizontal="center"/>
      <protection/>
    </xf>
    <xf numFmtId="3" fontId="30" fillId="0" borderId="11" xfId="59" applyNumberFormat="1" applyFont="1" applyBorder="1" applyAlignment="1">
      <alignment horizontal="center"/>
      <protection/>
    </xf>
    <xf numFmtId="3" fontId="30" fillId="0" borderId="20" xfId="59" applyNumberFormat="1" applyFont="1" applyBorder="1" applyAlignment="1">
      <alignment horizontal="center"/>
      <protection/>
    </xf>
    <xf numFmtId="0" fontId="32" fillId="0" borderId="0" xfId="59" applyFont="1" applyBorder="1" applyAlignment="1">
      <alignment/>
      <protection/>
    </xf>
    <xf numFmtId="3" fontId="30" fillId="0" borderId="0" xfId="59" applyNumberFormat="1" applyFont="1" applyBorder="1" applyAlignment="1">
      <alignment horizontal="center"/>
      <protection/>
    </xf>
    <xf numFmtId="3" fontId="81" fillId="0" borderId="10" xfId="59" applyNumberFormat="1" applyFont="1" applyFill="1" applyBorder="1" applyAlignment="1">
      <alignment horizontal="center"/>
      <protection/>
    </xf>
    <xf numFmtId="3" fontId="30" fillId="0" borderId="14" xfId="59" applyNumberFormat="1" applyFont="1" applyBorder="1" applyAlignment="1">
      <alignment horizontal="center"/>
      <protection/>
    </xf>
    <xf numFmtId="0" fontId="32" fillId="0" borderId="10" xfId="59" applyFont="1" applyBorder="1">
      <alignment/>
      <protection/>
    </xf>
    <xf numFmtId="0" fontId="62" fillId="0" borderId="10" xfId="59" applyFont="1" applyFill="1" applyBorder="1" applyAlignment="1">
      <alignment horizontal="center"/>
      <protection/>
    </xf>
    <xf numFmtId="3" fontId="62" fillId="0" borderId="10" xfId="59" applyNumberFormat="1" applyFont="1" applyFill="1" applyBorder="1" applyAlignment="1">
      <alignment horizontal="center"/>
      <protection/>
    </xf>
    <xf numFmtId="3" fontId="62" fillId="0" borderId="10" xfId="59" applyNumberFormat="1" applyFont="1" applyFill="1" applyBorder="1" applyAlignment="1">
      <alignment horizontal="right"/>
      <protection/>
    </xf>
    <xf numFmtId="3" fontId="32" fillId="4" borderId="20" xfId="59" applyNumberFormat="1" applyFont="1" applyFill="1" applyBorder="1" applyAlignment="1">
      <alignment horizontal="right"/>
      <protection/>
    </xf>
    <xf numFmtId="3" fontId="32" fillId="0" borderId="14" xfId="59" applyNumberFormat="1" applyFont="1" applyBorder="1" applyAlignment="1">
      <alignment/>
      <protection/>
    </xf>
    <xf numFmtId="0" fontId="32" fillId="0" borderId="14" xfId="59" applyFont="1" applyBorder="1" applyAlignment="1">
      <alignment/>
      <protection/>
    </xf>
    <xf numFmtId="0" fontId="32" fillId="0" borderId="20" xfId="59" applyFont="1" applyBorder="1" applyAlignment="1">
      <alignment/>
      <protection/>
    </xf>
    <xf numFmtId="0" fontId="32" fillId="4" borderId="10" xfId="59" applyFont="1" applyFill="1" applyBorder="1" applyAlignment="1">
      <alignment/>
      <protection/>
    </xf>
    <xf numFmtId="0" fontId="30" fillId="26" borderId="10" xfId="59" applyFont="1" applyFill="1" applyBorder="1" applyAlignment="1">
      <alignment horizontal="left"/>
      <protection/>
    </xf>
    <xf numFmtId="0" fontId="62" fillId="26" borderId="10" xfId="59" applyFont="1" applyFill="1" applyBorder="1" applyAlignment="1">
      <alignment horizontal="left"/>
      <protection/>
    </xf>
    <xf numFmtId="3" fontId="30" fillId="26" borderId="10" xfId="59" applyNumberFormat="1" applyFont="1" applyFill="1" applyBorder="1" applyAlignment="1">
      <alignment horizontal="right"/>
      <protection/>
    </xf>
    <xf numFmtId="3" fontId="30" fillId="26" borderId="10" xfId="59" applyNumberFormat="1" applyFont="1" applyFill="1" applyBorder="1" applyAlignment="1">
      <alignment/>
      <protection/>
    </xf>
    <xf numFmtId="3" fontId="30" fillId="26" borderId="20" xfId="59" applyNumberFormat="1" applyFont="1" applyFill="1" applyBorder="1" applyAlignment="1">
      <alignment horizontal="right"/>
      <protection/>
    </xf>
    <xf numFmtId="3" fontId="32" fillId="26" borderId="10" xfId="59" applyNumberFormat="1" applyFont="1" applyFill="1" applyBorder="1" applyAlignment="1">
      <alignment horizontal="right"/>
      <protection/>
    </xf>
    <xf numFmtId="3" fontId="32" fillId="26" borderId="20" xfId="59" applyNumberFormat="1" applyFont="1" applyFill="1" applyBorder="1" applyAlignment="1">
      <alignment horizontal="right"/>
      <protection/>
    </xf>
    <xf numFmtId="3" fontId="32" fillId="26" borderId="10" xfId="59" applyNumberFormat="1" applyFont="1" applyFill="1" applyBorder="1" applyAlignment="1">
      <alignment/>
      <protection/>
    </xf>
    <xf numFmtId="3" fontId="32" fillId="26" borderId="0" xfId="59" applyNumberFormat="1" applyFont="1" applyFill="1" applyBorder="1" applyAlignment="1">
      <alignment/>
      <protection/>
    </xf>
    <xf numFmtId="0" fontId="32" fillId="26" borderId="0" xfId="59" applyFont="1" applyFill="1" applyBorder="1" applyAlignment="1">
      <alignment/>
      <protection/>
    </xf>
    <xf numFmtId="0" fontId="1" fillId="26" borderId="0" xfId="59" applyFill="1">
      <alignment/>
      <protection/>
    </xf>
    <xf numFmtId="0" fontId="32" fillId="0" borderId="10" xfId="59" applyFont="1" applyFill="1" applyBorder="1" applyAlignment="1">
      <alignment horizontal="left"/>
      <protection/>
    </xf>
    <xf numFmtId="3" fontId="32" fillId="0" borderId="10" xfId="59" applyNumberFormat="1" applyFont="1" applyFill="1" applyBorder="1" applyAlignment="1">
      <alignment horizontal="right"/>
      <protection/>
    </xf>
    <xf numFmtId="3" fontId="32" fillId="0" borderId="10" xfId="59" applyNumberFormat="1" applyFont="1" applyFill="1" applyBorder="1" applyAlignment="1">
      <alignment/>
      <protection/>
    </xf>
    <xf numFmtId="3" fontId="30" fillId="4" borderId="20" xfId="59" applyNumberFormat="1" applyFont="1" applyFill="1" applyBorder="1" applyAlignment="1">
      <alignment horizontal="right"/>
      <protection/>
    </xf>
    <xf numFmtId="3" fontId="32" fillId="0" borderId="10" xfId="59" applyNumberFormat="1" applyFont="1" applyBorder="1" applyAlignment="1">
      <alignment horizontal="right"/>
      <protection/>
    </xf>
    <xf numFmtId="3" fontId="32" fillId="0" borderId="20" xfId="59" applyNumberFormat="1" applyFont="1" applyBorder="1" applyAlignment="1">
      <alignment horizontal="right"/>
      <protection/>
    </xf>
    <xf numFmtId="3" fontId="32" fillId="4" borderId="10" xfId="59" applyNumberFormat="1" applyFont="1" applyFill="1" applyBorder="1" applyAlignment="1">
      <alignment/>
      <protection/>
    </xf>
    <xf numFmtId="0" fontId="30" fillId="0" borderId="10" xfId="59" applyFont="1" applyFill="1" applyBorder="1" applyAlignment="1">
      <alignment horizontal="left"/>
      <protection/>
    </xf>
    <xf numFmtId="0" fontId="32" fillId="26" borderId="10" xfId="59" applyFont="1" applyFill="1" applyBorder="1" applyAlignment="1">
      <alignment horizontal="left"/>
      <protection/>
    </xf>
    <xf numFmtId="0" fontId="32" fillId="0" borderId="10" xfId="59" applyFont="1" applyFill="1" applyBorder="1" applyAlignment="1">
      <alignment horizontal="left" shrinkToFit="1"/>
      <protection/>
    </xf>
    <xf numFmtId="0" fontId="30" fillId="26" borderId="10" xfId="59" applyFont="1" applyFill="1" applyBorder="1" applyAlignment="1">
      <alignment horizontal="left" shrinkToFit="1"/>
      <protection/>
    </xf>
    <xf numFmtId="3" fontId="30" fillId="0" borderId="10" xfId="59" applyNumberFormat="1" applyFont="1" applyFill="1" applyBorder="1" applyAlignment="1">
      <alignment horizontal="right"/>
      <protection/>
    </xf>
    <xf numFmtId="3" fontId="30" fillId="0" borderId="10" xfId="59" applyNumberFormat="1" applyFont="1" applyFill="1" applyBorder="1" applyAlignment="1">
      <alignment/>
      <protection/>
    </xf>
    <xf numFmtId="3" fontId="30" fillId="0" borderId="20" xfId="59" applyNumberFormat="1" applyFont="1" applyFill="1" applyBorder="1" applyAlignment="1">
      <alignment horizontal="right"/>
      <protection/>
    </xf>
    <xf numFmtId="0" fontId="30" fillId="15" borderId="10" xfId="59" applyFont="1" applyFill="1" applyBorder="1" applyAlignment="1">
      <alignment horizontal="left"/>
      <protection/>
    </xf>
    <xf numFmtId="0" fontId="32" fillId="15" borderId="10" xfId="59" applyFont="1" applyFill="1" applyBorder="1" applyAlignment="1">
      <alignment horizontal="left"/>
      <protection/>
    </xf>
    <xf numFmtId="3" fontId="30" fillId="15" borderId="10" xfId="59" applyNumberFormat="1" applyFont="1" applyFill="1" applyBorder="1" applyAlignment="1">
      <alignment horizontal="right"/>
      <protection/>
    </xf>
    <xf numFmtId="3" fontId="30" fillId="15" borderId="20" xfId="59" applyNumberFormat="1" applyFont="1" applyFill="1" applyBorder="1" applyAlignment="1">
      <alignment horizontal="right"/>
      <protection/>
    </xf>
    <xf numFmtId="0" fontId="32" fillId="15" borderId="0" xfId="59" applyFont="1" applyFill="1" applyBorder="1" applyAlignment="1">
      <alignment/>
      <protection/>
    </xf>
    <xf numFmtId="0" fontId="1" fillId="15" borderId="0" xfId="59" applyFill="1">
      <alignment/>
      <protection/>
    </xf>
    <xf numFmtId="0" fontId="32" fillId="0" borderId="10" xfId="59" applyFont="1" applyBorder="1" applyAlignment="1">
      <alignment horizontal="left"/>
      <protection/>
    </xf>
    <xf numFmtId="0" fontId="30" fillId="0" borderId="10" xfId="59" applyFont="1" applyBorder="1" applyAlignment="1">
      <alignment horizontal="left"/>
      <protection/>
    </xf>
    <xf numFmtId="3" fontId="32" fillId="0" borderId="10" xfId="59" applyNumberFormat="1" applyFont="1" applyBorder="1" applyAlignment="1">
      <alignment/>
      <protection/>
    </xf>
    <xf numFmtId="3" fontId="30" fillId="0" borderId="10" xfId="59" applyNumberFormat="1" applyFont="1" applyBorder="1" applyAlignment="1">
      <alignment horizontal="right"/>
      <protection/>
    </xf>
    <xf numFmtId="3" fontId="30" fillId="0" borderId="10" xfId="59" applyNumberFormat="1" applyFont="1" applyBorder="1" applyAlignment="1">
      <alignment/>
      <protection/>
    </xf>
    <xf numFmtId="3" fontId="30" fillId="15" borderId="10" xfId="59" applyNumberFormat="1" applyFont="1" applyFill="1" applyBorder="1" applyAlignment="1">
      <alignment/>
      <protection/>
    </xf>
    <xf numFmtId="3" fontId="32" fillId="15" borderId="10" xfId="59" applyNumberFormat="1" applyFont="1" applyFill="1" applyBorder="1" applyAlignment="1">
      <alignment horizontal="right"/>
      <protection/>
    </xf>
    <xf numFmtId="3" fontId="32" fillId="15" borderId="20" xfId="59" applyNumberFormat="1" applyFont="1" applyFill="1" applyBorder="1" applyAlignment="1">
      <alignment horizontal="right"/>
      <protection/>
    </xf>
    <xf numFmtId="3" fontId="32" fillId="15" borderId="10" xfId="59" applyNumberFormat="1" applyFont="1" applyFill="1" applyBorder="1" applyAlignment="1">
      <alignment/>
      <protection/>
    </xf>
    <xf numFmtId="3" fontId="32" fillId="0" borderId="20" xfId="59" applyNumberFormat="1" applyFont="1" applyFill="1" applyBorder="1" applyAlignment="1">
      <alignment horizontal="right"/>
      <protection/>
    </xf>
    <xf numFmtId="0" fontId="30" fillId="29" borderId="10" xfId="59" applyFont="1" applyFill="1" applyBorder="1" applyAlignment="1">
      <alignment horizontal="left"/>
      <protection/>
    </xf>
    <xf numFmtId="0" fontId="32" fillId="29" borderId="10" xfId="59" applyFont="1" applyFill="1" applyBorder="1" applyAlignment="1">
      <alignment horizontal="left"/>
      <protection/>
    </xf>
    <xf numFmtId="3" fontId="30" fillId="29" borderId="10" xfId="59" applyNumberFormat="1" applyFont="1" applyFill="1" applyBorder="1" applyAlignment="1">
      <alignment horizontal="right"/>
      <protection/>
    </xf>
    <xf numFmtId="3" fontId="30" fillId="29" borderId="20" xfId="59" applyNumberFormat="1" applyFont="1" applyFill="1" applyBorder="1" applyAlignment="1">
      <alignment horizontal="right"/>
      <protection/>
    </xf>
    <xf numFmtId="0" fontId="32" fillId="29" borderId="0" xfId="59" applyFont="1" applyFill="1" applyBorder="1" applyAlignment="1">
      <alignment/>
      <protection/>
    </xf>
    <xf numFmtId="0" fontId="1" fillId="29" borderId="0" xfId="59" applyFill="1">
      <alignment/>
      <protection/>
    </xf>
    <xf numFmtId="0" fontId="30" fillId="0" borderId="21" xfId="59" applyFont="1" applyBorder="1" applyAlignment="1">
      <alignment horizontal="left"/>
      <protection/>
    </xf>
    <xf numFmtId="0" fontId="32" fillId="0" borderId="21" xfId="59" applyFont="1" applyBorder="1" applyAlignment="1">
      <alignment horizontal="left"/>
      <protection/>
    </xf>
    <xf numFmtId="3" fontId="30" fillId="0" borderId="21" xfId="59" applyNumberFormat="1" applyFont="1" applyBorder="1" applyAlignment="1">
      <alignment horizontal="right"/>
      <protection/>
    </xf>
    <xf numFmtId="3" fontId="30" fillId="0" borderId="20" xfId="59" applyNumberFormat="1" applyFont="1" applyBorder="1" applyAlignment="1">
      <alignment/>
      <protection/>
    </xf>
    <xf numFmtId="3" fontId="32" fillId="0" borderId="0" xfId="59" applyNumberFormat="1" applyFont="1" applyBorder="1" applyAlignment="1">
      <alignment/>
      <protection/>
    </xf>
    <xf numFmtId="0" fontId="56" fillId="0" borderId="10" xfId="59" applyFont="1" applyBorder="1" applyAlignment="1">
      <alignment horizontal="left"/>
      <protection/>
    </xf>
    <xf numFmtId="3" fontId="56" fillId="0" borderId="10" xfId="59" applyNumberFormat="1" applyFont="1" applyBorder="1" applyAlignment="1">
      <alignment horizontal="right"/>
      <protection/>
    </xf>
    <xf numFmtId="3" fontId="32" fillId="0" borderId="20" xfId="59" applyNumberFormat="1" applyFont="1" applyBorder="1" applyAlignment="1">
      <alignment/>
      <protection/>
    </xf>
    <xf numFmtId="0" fontId="62" fillId="29" borderId="11" xfId="59" applyFont="1" applyFill="1" applyBorder="1" applyAlignment="1">
      <alignment horizontal="left"/>
      <protection/>
    </xf>
    <xf numFmtId="0" fontId="56" fillId="29" borderId="11" xfId="59" applyFont="1" applyFill="1" applyBorder="1" applyAlignment="1">
      <alignment horizontal="left"/>
      <protection/>
    </xf>
    <xf numFmtId="3" fontId="62" fillId="29" borderId="11" xfId="59" applyNumberFormat="1" applyFont="1" applyFill="1" applyBorder="1" applyAlignment="1">
      <alignment horizontal="right"/>
      <protection/>
    </xf>
    <xf numFmtId="3" fontId="32" fillId="29" borderId="10" xfId="59" applyNumberFormat="1" applyFont="1" applyFill="1" applyBorder="1" applyAlignment="1">
      <alignment/>
      <protection/>
    </xf>
    <xf numFmtId="3" fontId="32" fillId="29" borderId="20" xfId="59" applyNumberFormat="1" applyFont="1" applyFill="1" applyBorder="1" applyAlignment="1">
      <alignment/>
      <protection/>
    </xf>
    <xf numFmtId="0" fontId="62" fillId="0" borderId="10" xfId="59" applyFont="1" applyBorder="1" applyAlignment="1">
      <alignment horizontal="left"/>
      <protection/>
    </xf>
    <xf numFmtId="3" fontId="32" fillId="0" borderId="10" xfId="59" applyNumberFormat="1" applyFont="1" applyBorder="1" applyAlignment="1">
      <alignment horizontal="center"/>
      <protection/>
    </xf>
    <xf numFmtId="3" fontId="30" fillId="4" borderId="10" xfId="59" applyNumberFormat="1" applyFont="1" applyFill="1" applyBorder="1" applyAlignment="1">
      <alignment horizontal="right"/>
      <protection/>
    </xf>
    <xf numFmtId="0" fontId="30" fillId="11" borderId="20" xfId="59" applyFont="1" applyFill="1" applyBorder="1" applyAlignment="1">
      <alignment horizontal="left"/>
      <protection/>
    </xf>
    <xf numFmtId="0" fontId="32" fillId="11" borderId="10" xfId="59" applyFont="1" applyFill="1" applyBorder="1" applyAlignment="1">
      <alignment horizontal="left"/>
      <protection/>
    </xf>
    <xf numFmtId="0" fontId="62" fillId="11" borderId="10" xfId="59" applyFont="1" applyFill="1" applyBorder="1" applyAlignment="1">
      <alignment horizontal="left"/>
      <protection/>
    </xf>
    <xf numFmtId="3" fontId="30" fillId="11" borderId="10" xfId="59" applyNumberFormat="1" applyFont="1" applyFill="1" applyBorder="1" applyAlignment="1">
      <alignment horizontal="right"/>
      <protection/>
    </xf>
    <xf numFmtId="0" fontId="32" fillId="11" borderId="0" xfId="59" applyFont="1" applyFill="1" applyBorder="1" applyAlignment="1">
      <alignment/>
      <protection/>
    </xf>
    <xf numFmtId="0" fontId="1" fillId="11" borderId="0" xfId="59" applyFill="1">
      <alignment/>
      <protection/>
    </xf>
    <xf numFmtId="0" fontId="62" fillId="0" borderId="16" xfId="59" applyFont="1" applyFill="1" applyBorder="1" applyAlignment="1">
      <alignment horizontal="center"/>
      <protection/>
    </xf>
    <xf numFmtId="0" fontId="62" fillId="0" borderId="0" xfId="59" applyFont="1" applyFill="1" applyBorder="1" applyAlignment="1">
      <alignment horizontal="center"/>
      <protection/>
    </xf>
    <xf numFmtId="0" fontId="70" fillId="0" borderId="0" xfId="59" applyFont="1" applyFill="1" applyBorder="1" applyAlignment="1">
      <alignment horizontal="center"/>
      <protection/>
    </xf>
    <xf numFmtId="3" fontId="70" fillId="0" borderId="0" xfId="59" applyNumberFormat="1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/>
      <protection/>
    </xf>
    <xf numFmtId="3" fontId="32" fillId="0" borderId="0" xfId="59" applyNumberFormat="1" applyFont="1" applyFill="1" applyBorder="1" applyAlignment="1">
      <alignment horizontal="right"/>
      <protection/>
    </xf>
    <xf numFmtId="0" fontId="32" fillId="0" borderId="0" xfId="59" applyFont="1" applyFill="1" applyBorder="1" applyAlignment="1">
      <alignment/>
      <protection/>
    </xf>
    <xf numFmtId="3" fontId="30" fillId="0" borderId="16" xfId="59" applyNumberFormat="1" applyFont="1" applyFill="1" applyBorder="1" applyAlignment="1">
      <alignment/>
      <protection/>
    </xf>
    <xf numFmtId="3" fontId="30" fillId="0" borderId="0" xfId="59" applyNumberFormat="1" applyFont="1" applyFill="1" applyBorder="1" applyAlignment="1">
      <alignment/>
      <protection/>
    </xf>
    <xf numFmtId="3" fontId="62" fillId="6" borderId="10" xfId="59" applyNumberFormat="1" applyFont="1" applyFill="1" applyBorder="1" applyAlignment="1">
      <alignment horizontal="center" vertical="center"/>
      <protection/>
    </xf>
    <xf numFmtId="3" fontId="62" fillId="26" borderId="10" xfId="59" applyNumberFormat="1" applyFont="1" applyFill="1" applyBorder="1" applyAlignment="1">
      <alignment horizontal="center" vertical="center" wrapText="1"/>
      <protection/>
    </xf>
    <xf numFmtId="3" fontId="62" fillId="6" borderId="10" xfId="59" applyNumberFormat="1" applyFont="1" applyFill="1" applyBorder="1" applyAlignment="1">
      <alignment horizontal="center" vertical="center" wrapText="1"/>
      <protection/>
    </xf>
    <xf numFmtId="3" fontId="62" fillId="26" borderId="10" xfId="59" applyNumberFormat="1" applyFont="1" applyFill="1" applyBorder="1" applyAlignment="1">
      <alignment horizontal="center" vertical="center"/>
      <protection/>
    </xf>
    <xf numFmtId="3" fontId="62" fillId="26" borderId="10" xfId="59" applyNumberFormat="1" applyFont="1" applyFill="1" applyBorder="1" applyAlignment="1">
      <alignment horizontal="center" vertical="center" shrinkToFit="1"/>
      <protection/>
    </xf>
    <xf numFmtId="3" fontId="62" fillId="6" borderId="10" xfId="59" applyNumberFormat="1" applyFont="1" applyFill="1" applyBorder="1" applyAlignment="1">
      <alignment horizontal="center" vertical="center" shrinkToFit="1"/>
      <protection/>
    </xf>
    <xf numFmtId="3" fontId="62" fillId="26" borderId="10" xfId="59" applyNumberFormat="1" applyFont="1" applyFill="1" applyBorder="1" applyAlignment="1">
      <alignment horizontal="center" vertical="center" shrinkToFit="1"/>
      <protection/>
    </xf>
    <xf numFmtId="3" fontId="62" fillId="6" borderId="10" xfId="59" applyNumberFormat="1" applyFont="1" applyFill="1" applyBorder="1" applyAlignment="1">
      <alignment horizontal="center" vertical="center" shrinkToFit="1"/>
      <protection/>
    </xf>
    <xf numFmtId="0" fontId="62" fillId="0" borderId="10" xfId="59" applyFont="1" applyBorder="1" applyAlignment="1">
      <alignment horizontal="right"/>
      <protection/>
    </xf>
    <xf numFmtId="3" fontId="32" fillId="4" borderId="10" xfId="59" applyNumberFormat="1" applyFont="1" applyFill="1" applyBorder="1" applyAlignment="1">
      <alignment horizontal="center"/>
      <protection/>
    </xf>
    <xf numFmtId="49" fontId="32" fillId="0" borderId="10" xfId="59" applyNumberFormat="1" applyFont="1" applyBorder="1" applyAlignment="1">
      <alignment horizontal="center"/>
      <protection/>
    </xf>
    <xf numFmtId="49" fontId="30" fillId="0" borderId="10" xfId="59" applyNumberFormat="1" applyFont="1" applyBorder="1" applyAlignment="1">
      <alignment horizontal="center"/>
      <protection/>
    </xf>
    <xf numFmtId="3" fontId="30" fillId="4" borderId="12" xfId="59" applyNumberFormat="1" applyFont="1" applyFill="1" applyBorder="1" applyAlignment="1">
      <alignment/>
      <protection/>
    </xf>
    <xf numFmtId="0" fontId="1" fillId="11" borderId="10" xfId="59" applyFont="1" applyFill="1" applyBorder="1" applyAlignment="1">
      <alignment horizontal="center"/>
      <protection/>
    </xf>
    <xf numFmtId="0" fontId="62" fillId="11" borderId="10" xfId="59" applyFont="1" applyFill="1" applyBorder="1" applyAlignment="1">
      <alignment horizontal="center"/>
      <protection/>
    </xf>
    <xf numFmtId="3" fontId="62" fillId="11" borderId="10" xfId="59" applyNumberFormat="1" applyFont="1" applyFill="1" applyBorder="1" applyAlignment="1">
      <alignment horizontal="center"/>
      <protection/>
    </xf>
    <xf numFmtId="3" fontId="32" fillId="11" borderId="13" xfId="59" applyNumberFormat="1" applyFont="1" applyFill="1" applyBorder="1" applyAlignment="1">
      <alignment horizontal="right"/>
      <protection/>
    </xf>
    <xf numFmtId="3" fontId="30" fillId="11" borderId="10" xfId="59" applyNumberFormat="1" applyFont="1" applyFill="1" applyBorder="1" applyAlignment="1">
      <alignment horizontal="right" shrinkToFit="1"/>
      <protection/>
    </xf>
    <xf numFmtId="3" fontId="32" fillId="11" borderId="10" xfId="59" applyNumberFormat="1" applyFont="1" applyFill="1" applyBorder="1" applyAlignment="1">
      <alignment horizontal="right"/>
      <protection/>
    </xf>
    <xf numFmtId="3" fontId="32" fillId="4" borderId="10" xfId="59" applyNumberFormat="1" applyFont="1" applyFill="1" applyBorder="1" applyAlignment="1">
      <alignment horizontal="right"/>
      <protection/>
    </xf>
    <xf numFmtId="3" fontId="32" fillId="0" borderId="13" xfId="59" applyNumberFormat="1" applyFont="1" applyBorder="1" applyAlignment="1">
      <alignment horizontal="right"/>
      <protection/>
    </xf>
    <xf numFmtId="3" fontId="32" fillId="0" borderId="13" xfId="59" applyNumberFormat="1" applyFont="1" applyFill="1" applyBorder="1" applyAlignment="1">
      <alignment horizontal="right"/>
      <protection/>
    </xf>
    <xf numFmtId="3" fontId="30" fillId="0" borderId="10" xfId="59" applyNumberFormat="1" applyFont="1" applyBorder="1" applyAlignment="1">
      <alignment horizontal="right" shrinkToFit="1"/>
      <protection/>
    </xf>
    <xf numFmtId="0" fontId="32" fillId="26" borderId="10" xfId="59" applyFont="1" applyFill="1" applyBorder="1" applyAlignment="1">
      <alignment horizontal="right"/>
      <protection/>
    </xf>
    <xf numFmtId="0" fontId="30" fillId="26" borderId="10" xfId="59" applyFont="1" applyFill="1" applyBorder="1">
      <alignment/>
      <protection/>
    </xf>
    <xf numFmtId="0" fontId="32" fillId="0" borderId="10" xfId="59" applyFont="1" applyBorder="1" applyAlignment="1">
      <alignment horizontal="right"/>
      <protection/>
    </xf>
    <xf numFmtId="0" fontId="30" fillId="0" borderId="10" xfId="59" applyFont="1" applyBorder="1">
      <alignment/>
      <protection/>
    </xf>
    <xf numFmtId="3" fontId="30" fillId="0" borderId="13" xfId="59" applyNumberFormat="1" applyFont="1" applyBorder="1" applyAlignment="1">
      <alignment horizontal="right"/>
      <protection/>
    </xf>
    <xf numFmtId="0" fontId="32" fillId="0" borderId="10" xfId="59" applyFont="1" applyFill="1" applyBorder="1">
      <alignment/>
      <protection/>
    </xf>
    <xf numFmtId="0" fontId="32" fillId="0" borderId="10" xfId="59" applyFont="1" applyFill="1" applyBorder="1" applyAlignment="1">
      <alignment horizontal="right"/>
      <protection/>
    </xf>
    <xf numFmtId="0" fontId="30" fillId="0" borderId="10" xfId="59" applyFont="1" applyFill="1" applyBorder="1">
      <alignment/>
      <protection/>
    </xf>
    <xf numFmtId="3" fontId="30" fillId="0" borderId="13" xfId="59" applyNumberFormat="1" applyFont="1" applyFill="1" applyBorder="1" applyAlignment="1">
      <alignment horizontal="right"/>
      <protection/>
    </xf>
    <xf numFmtId="0" fontId="30" fillId="0" borderId="10" xfId="59" applyFont="1" applyFill="1" applyBorder="1" applyAlignment="1">
      <alignment shrinkToFit="1"/>
      <protection/>
    </xf>
    <xf numFmtId="0" fontId="56" fillId="0" borderId="10" xfId="59" applyFont="1" applyFill="1" applyBorder="1" applyAlignment="1">
      <alignment horizontal="left"/>
      <protection/>
    </xf>
    <xf numFmtId="0" fontId="56" fillId="0" borderId="10" xfId="59" applyFont="1" applyFill="1" applyBorder="1">
      <alignment/>
      <protection/>
    </xf>
    <xf numFmtId="3" fontId="56" fillId="0" borderId="10" xfId="59" applyNumberFormat="1" applyFont="1" applyFill="1" applyBorder="1" applyAlignment="1">
      <alignment horizontal="right"/>
      <protection/>
    </xf>
    <xf numFmtId="0" fontId="32" fillId="0" borderId="10" xfId="59" applyFont="1" applyFill="1" applyBorder="1" applyAlignment="1">
      <alignment shrinkToFit="1"/>
      <protection/>
    </xf>
    <xf numFmtId="0" fontId="32" fillId="0" borderId="11" xfId="59" applyFont="1" applyBorder="1" applyAlignment="1">
      <alignment horizontal="left"/>
      <protection/>
    </xf>
    <xf numFmtId="0" fontId="32" fillId="0" borderId="14" xfId="59" applyFont="1" applyFill="1" applyBorder="1">
      <alignment/>
      <protection/>
    </xf>
    <xf numFmtId="3" fontId="32" fillId="0" borderId="11" xfId="59" applyNumberFormat="1" applyFont="1" applyFill="1" applyBorder="1" applyAlignment="1">
      <alignment horizontal="right"/>
      <protection/>
    </xf>
    <xf numFmtId="3" fontId="62" fillId="0" borderId="13" xfId="59" applyNumberFormat="1" applyFont="1" applyBorder="1" applyAlignment="1">
      <alignment horizontal="right"/>
      <protection/>
    </xf>
    <xf numFmtId="0" fontId="30" fillId="11" borderId="10" xfId="59" applyFont="1" applyFill="1" applyBorder="1" applyAlignment="1">
      <alignment horizontal="left"/>
      <protection/>
    </xf>
    <xf numFmtId="0" fontId="30" fillId="11" borderId="10" xfId="59" applyFont="1" applyFill="1" applyBorder="1">
      <alignment/>
      <protection/>
    </xf>
    <xf numFmtId="3" fontId="1" fillId="11" borderId="0" xfId="59" applyNumberFormat="1" applyFill="1">
      <alignment/>
      <protection/>
    </xf>
    <xf numFmtId="3" fontId="56" fillId="11" borderId="13" xfId="59" applyNumberFormat="1" applyFont="1" applyFill="1" applyBorder="1" applyAlignment="1">
      <alignment horizontal="right"/>
      <protection/>
    </xf>
    <xf numFmtId="3" fontId="62" fillId="0" borderId="13" xfId="59" applyNumberFormat="1" applyFont="1" applyFill="1" applyBorder="1" applyAlignment="1">
      <alignment horizontal="right"/>
      <protection/>
    </xf>
    <xf numFmtId="0" fontId="30" fillId="30" borderId="10" xfId="59" applyFont="1" applyFill="1" applyBorder="1" applyAlignment="1">
      <alignment horizontal="left"/>
      <protection/>
    </xf>
    <xf numFmtId="0" fontId="30" fillId="30" borderId="10" xfId="59" applyFont="1" applyFill="1" applyBorder="1">
      <alignment/>
      <protection/>
    </xf>
    <xf numFmtId="3" fontId="30" fillId="30" borderId="10" xfId="59" applyNumberFormat="1" applyFont="1" applyFill="1" applyBorder="1" applyAlignment="1">
      <alignment horizontal="right"/>
      <protection/>
    </xf>
    <xf numFmtId="0" fontId="1" fillId="9" borderId="0" xfId="59" applyFill="1">
      <alignment/>
      <protection/>
    </xf>
    <xf numFmtId="3" fontId="1" fillId="9" borderId="0" xfId="59" applyNumberFormat="1" applyFill="1">
      <alignment/>
      <protection/>
    </xf>
    <xf numFmtId="0" fontId="3" fillId="0" borderId="16" xfId="59" applyFont="1" applyBorder="1" applyAlignment="1">
      <alignment horizontal="left"/>
      <protection/>
    </xf>
    <xf numFmtId="0" fontId="3" fillId="0" borderId="16" xfId="59" applyFont="1" applyBorder="1">
      <alignment/>
      <protection/>
    </xf>
    <xf numFmtId="0" fontId="84" fillId="0" borderId="16" xfId="59" applyFont="1" applyBorder="1">
      <alignment/>
      <protection/>
    </xf>
    <xf numFmtId="3" fontId="85" fillId="0" borderId="16" xfId="59" applyNumberFormat="1" applyFont="1" applyBorder="1" applyAlignment="1">
      <alignment horizontal="right"/>
      <protection/>
    </xf>
    <xf numFmtId="3" fontId="84" fillId="0" borderId="16" xfId="59" applyNumberFormat="1" applyFont="1" applyBorder="1" applyAlignment="1">
      <alignment horizontal="right"/>
      <protection/>
    </xf>
    <xf numFmtId="3" fontId="86" fillId="0" borderId="16" xfId="59" applyNumberFormat="1" applyFont="1" applyBorder="1" applyAlignment="1">
      <alignment horizontal="right"/>
      <protection/>
    </xf>
    <xf numFmtId="3" fontId="86" fillId="0" borderId="0" xfId="59" applyNumberFormat="1" applyFont="1" applyFill="1" applyBorder="1" applyAlignment="1">
      <alignment horizontal="right"/>
      <protection/>
    </xf>
    <xf numFmtId="3" fontId="32" fillId="0" borderId="0" xfId="59" applyNumberFormat="1" applyFont="1" applyFill="1" applyAlignment="1">
      <alignment horizontal="right"/>
      <protection/>
    </xf>
    <xf numFmtId="3" fontId="32" fillId="4" borderId="0" xfId="59" applyNumberFormat="1" applyFont="1" applyFill="1" applyBorder="1" applyAlignment="1">
      <alignment horizontal="right"/>
      <protection/>
    </xf>
    <xf numFmtId="3" fontId="32" fillId="0" borderId="0" xfId="59" applyNumberFormat="1" applyFont="1" applyAlignment="1">
      <alignment horizontal="right"/>
      <protection/>
    </xf>
    <xf numFmtId="3" fontId="32" fillId="4" borderId="0" xfId="59" applyNumberFormat="1" applyFont="1" applyFill="1" applyAlignment="1">
      <alignment horizontal="right"/>
      <protection/>
    </xf>
    <xf numFmtId="0" fontId="1" fillId="4" borderId="0" xfId="59" applyFill="1">
      <alignment/>
      <protection/>
    </xf>
    <xf numFmtId="3" fontId="1" fillId="4" borderId="0" xfId="59" applyNumberFormat="1" applyFill="1">
      <alignment/>
      <protection/>
    </xf>
    <xf numFmtId="3" fontId="32" fillId="0" borderId="0" xfId="59" applyNumberFormat="1" applyFont="1">
      <alignment/>
      <protection/>
    </xf>
    <xf numFmtId="0" fontId="32" fillId="0" borderId="0" xfId="59" applyFont="1">
      <alignment/>
      <protection/>
    </xf>
    <xf numFmtId="0" fontId="32" fillId="4" borderId="0" xfId="59" applyFont="1" applyFill="1">
      <alignment/>
      <protection/>
    </xf>
    <xf numFmtId="3" fontId="0" fillId="0" borderId="20" xfId="0" applyNumberFormat="1" applyFill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0" fillId="10" borderId="0" xfId="0" applyFill="1" applyAlignment="1">
      <alignment/>
    </xf>
    <xf numFmtId="0" fontId="87" fillId="0" borderId="10" xfId="0" applyFont="1" applyBorder="1" applyAlignment="1">
      <alignment vertical="center" wrapText="1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wrapText="1"/>
    </xf>
    <xf numFmtId="3" fontId="5" fillId="0" borderId="15" xfId="0" applyNumberFormat="1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2" fillId="26" borderId="11" xfId="0" applyNumberFormat="1" applyFont="1" applyFill="1" applyBorder="1" applyAlignment="1">
      <alignment vertical="center"/>
    </xf>
    <xf numFmtId="3" fontId="3" fillId="26" borderId="35" xfId="0" applyNumberFormat="1" applyFont="1" applyFill="1" applyBorder="1" applyAlignment="1">
      <alignment vertical="center"/>
    </xf>
    <xf numFmtId="3" fontId="12" fillId="26" borderId="15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3" fontId="6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/>
    </xf>
    <xf numFmtId="4" fontId="5" fillId="0" borderId="10" xfId="0" applyNumberFormat="1" applyFont="1" applyBorder="1" applyAlignment="1">
      <alignment vertical="center"/>
    </xf>
    <xf numFmtId="3" fontId="0" fillId="27" borderId="10" xfId="0" applyNumberFormat="1" applyFill="1" applyBorder="1" applyAlignment="1" applyProtection="1">
      <alignment/>
      <protection locked="0"/>
    </xf>
    <xf numFmtId="3" fontId="0" fillId="27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0" fillId="27" borderId="0" xfId="0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7" fillId="27" borderId="0" xfId="0" applyFont="1" applyFill="1" applyBorder="1" applyAlignment="1" applyProtection="1">
      <alignment horizontal="right"/>
      <protection locked="0"/>
    </xf>
    <xf numFmtId="0" fontId="5" fillId="27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0" fontId="7" fillId="0" borderId="18" xfId="0" applyFont="1" applyBorder="1" applyAlignment="1" quotePrefix="1">
      <alignment horizontal="left" indent="1"/>
    </xf>
    <xf numFmtId="0" fontId="12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6" fillId="0" borderId="10" xfId="0" applyFont="1" applyBorder="1" applyAlignment="1">
      <alignment horizontal="left"/>
    </xf>
    <xf numFmtId="3" fontId="26" fillId="0" borderId="10" xfId="0" applyNumberFormat="1" applyFont="1" applyBorder="1" applyAlignment="1">
      <alignment horizontal="right"/>
    </xf>
    <xf numFmtId="3" fontId="0" fillId="16" borderId="0" xfId="0" applyNumberFormat="1" applyFill="1" applyAlignment="1">
      <alignment horizontal="right" vertical="center"/>
    </xf>
    <xf numFmtId="3" fontId="5" fillId="16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0" fontId="5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right" vertical="center"/>
    </xf>
    <xf numFmtId="10" fontId="0" fillId="0" borderId="10" xfId="0" applyNumberFormat="1" applyFill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10" fontId="9" fillId="0" borderId="10" xfId="0" applyNumberFormat="1" applyFont="1" applyBorder="1" applyAlignment="1">
      <alignment horizontal="right" vertical="center"/>
    </xf>
    <xf numFmtId="10" fontId="18" fillId="0" borderId="10" xfId="0" applyNumberFormat="1" applyFont="1" applyBorder="1" applyAlignment="1">
      <alignment horizontal="right" vertical="center"/>
    </xf>
    <xf numFmtId="10" fontId="0" fillId="0" borderId="10" xfId="0" applyNumberFormat="1" applyFill="1" applyBorder="1" applyAlignment="1">
      <alignment vertical="center"/>
    </xf>
    <xf numFmtId="10" fontId="5" fillId="0" borderId="10" xfId="0" applyNumberFormat="1" applyFont="1" applyFill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10" fontId="18" fillId="0" borderId="10" xfId="0" applyNumberFormat="1" applyFont="1" applyBorder="1" applyAlignment="1">
      <alignment horizontal="right" wrapText="1"/>
    </xf>
    <xf numFmtId="10" fontId="9" fillId="0" borderId="10" xfId="0" applyNumberFormat="1" applyFont="1" applyBorder="1" applyAlignment="1">
      <alignment horizontal="right" wrapText="1"/>
    </xf>
    <xf numFmtId="10" fontId="9" fillId="0" borderId="10" xfId="0" applyNumberFormat="1" applyFont="1" applyBorder="1" applyAlignment="1">
      <alignment horizontal="right" vertical="center" wrapText="1"/>
    </xf>
    <xf numFmtId="10" fontId="18" fillId="0" borderId="10" xfId="0" applyNumberFormat="1" applyFont="1" applyBorder="1" applyAlignment="1">
      <alignment horizontal="right" vertical="center" wrapText="1"/>
    </xf>
    <xf numFmtId="3" fontId="18" fillId="0" borderId="14" xfId="0" applyNumberFormat="1" applyFont="1" applyBorder="1" applyAlignment="1">
      <alignment horizontal="right" wrapText="1"/>
    </xf>
    <xf numFmtId="3" fontId="19" fillId="0" borderId="10" xfId="0" applyNumberFormat="1" applyFont="1" applyFill="1" applyBorder="1" applyAlignment="1">
      <alignment horizontal="right"/>
    </xf>
    <xf numFmtId="10" fontId="5" fillId="0" borderId="15" xfId="0" applyNumberFormat="1" applyFont="1" applyFill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horizontal="right" vertical="center"/>
    </xf>
    <xf numFmtId="10" fontId="26" fillId="0" borderId="10" xfId="0" applyNumberFormat="1" applyFont="1" applyBorder="1" applyAlignment="1">
      <alignment/>
    </xf>
    <xf numFmtId="10" fontId="5" fillId="27" borderId="10" xfId="0" applyNumberFormat="1" applyFont="1" applyFill="1" applyBorder="1" applyAlignment="1" applyProtection="1">
      <alignment/>
      <protection locked="0"/>
    </xf>
    <xf numFmtId="10" fontId="28" fillId="0" borderId="10" xfId="0" applyNumberFormat="1" applyFont="1" applyBorder="1" applyAlignment="1">
      <alignment/>
    </xf>
    <xf numFmtId="3" fontId="28" fillId="0" borderId="20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0" fontId="25" fillId="0" borderId="12" xfId="0" applyFont="1" applyBorder="1" applyAlignment="1">
      <alignment/>
    </xf>
    <xf numFmtId="10" fontId="0" fillId="0" borderId="10" xfId="0" applyNumberFormat="1" applyFont="1" applyBorder="1" applyAlignment="1">
      <alignment/>
    </xf>
    <xf numFmtId="3" fontId="0" fillId="0" borderId="124" xfId="0" applyNumberFormat="1" applyBorder="1" applyAlignment="1">
      <alignment horizontal="center" vertical="center"/>
    </xf>
    <xf numFmtId="3" fontId="0" fillId="0" borderId="125" xfId="0" applyNumberFormat="1" applyBorder="1" applyAlignment="1">
      <alignment vertical="center"/>
    </xf>
    <xf numFmtId="10" fontId="0" fillId="0" borderId="125" xfId="0" applyNumberFormat="1" applyBorder="1" applyAlignment="1">
      <alignment vertical="center"/>
    </xf>
    <xf numFmtId="4" fontId="0" fillId="0" borderId="125" xfId="0" applyNumberFormat="1" applyBorder="1" applyAlignment="1">
      <alignment vertical="center"/>
    </xf>
    <xf numFmtId="2" fontId="0" fillId="0" borderId="126" xfId="0" applyNumberFormat="1" applyBorder="1" applyAlignment="1">
      <alignment/>
    </xf>
    <xf numFmtId="0" fontId="0" fillId="0" borderId="127" xfId="0" applyFont="1" applyBorder="1" applyAlignment="1">
      <alignment/>
    </xf>
    <xf numFmtId="10" fontId="26" fillId="0" borderId="10" xfId="68" applyNumberFormat="1" applyFont="1" applyBorder="1" applyAlignment="1">
      <alignment horizontal="right" vertical="center" wrapText="1"/>
    </xf>
    <xf numFmtId="10" fontId="0" fillId="0" borderId="10" xfId="68" applyNumberFormat="1" applyBorder="1" applyAlignment="1">
      <alignment/>
    </xf>
    <xf numFmtId="3" fontId="112" fillId="0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26" fillId="0" borderId="0" xfId="0" applyFont="1" applyAlignment="1">
      <alignment horizontal="center"/>
    </xf>
    <xf numFmtId="0" fontId="113" fillId="0" borderId="0" xfId="0" applyFont="1" applyAlignment="1">
      <alignment/>
    </xf>
    <xf numFmtId="3" fontId="113" fillId="0" borderId="0" xfId="0" applyNumberFormat="1" applyFont="1" applyAlignment="1">
      <alignment/>
    </xf>
    <xf numFmtId="3" fontId="2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15" fillId="0" borderId="15" xfId="0" applyFont="1" applyBorder="1" applyAlignment="1">
      <alignment horizontal="center" vertical="center" wrapText="1"/>
    </xf>
    <xf numFmtId="3" fontId="115" fillId="0" borderId="15" xfId="0" applyNumberFormat="1" applyFont="1" applyFill="1" applyBorder="1" applyAlignment="1">
      <alignment horizontal="right" vertical="center" wrapText="1"/>
    </xf>
    <xf numFmtId="0" fontId="114" fillId="0" borderId="15" xfId="0" applyFont="1" applyBorder="1" applyAlignment="1">
      <alignment vertical="center" wrapText="1"/>
    </xf>
    <xf numFmtId="3" fontId="114" fillId="0" borderId="15" xfId="0" applyNumberFormat="1" applyFont="1" applyFill="1" applyBorder="1" applyAlignment="1">
      <alignment horizontal="right" vertical="center" wrapText="1"/>
    </xf>
    <xf numFmtId="0" fontId="114" fillId="0" borderId="10" xfId="0" applyFont="1" applyBorder="1" applyAlignment="1">
      <alignment vertical="center" wrapText="1"/>
    </xf>
    <xf numFmtId="3" fontId="114" fillId="0" borderId="10" xfId="0" applyNumberFormat="1" applyFont="1" applyFill="1" applyBorder="1" applyAlignment="1">
      <alignment horizontal="right" vertical="center" wrapText="1"/>
    </xf>
    <xf numFmtId="0" fontId="116" fillId="0" borderId="10" xfId="0" applyFont="1" applyBorder="1" applyAlignment="1">
      <alignment vertical="center" wrapText="1"/>
    </xf>
    <xf numFmtId="0" fontId="115" fillId="0" borderId="10" xfId="0" applyFont="1" applyBorder="1" applyAlignment="1">
      <alignment horizontal="center" vertical="center" wrapText="1"/>
    </xf>
    <xf numFmtId="3" fontId="115" fillId="0" borderId="10" xfId="0" applyNumberFormat="1" applyFont="1" applyFill="1" applyBorder="1" applyAlignment="1">
      <alignment horizontal="right" vertical="center" wrapText="1"/>
    </xf>
    <xf numFmtId="0" fontId="114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3" fontId="23" fillId="0" borderId="0" xfId="0" applyNumberFormat="1" applyFont="1" applyAlignment="1">
      <alignment wrapText="1"/>
    </xf>
    <xf numFmtId="3" fontId="23" fillId="0" borderId="0" xfId="0" applyNumberFormat="1" applyFont="1" applyFill="1" applyAlignment="1">
      <alignment wrapText="1"/>
    </xf>
    <xf numFmtId="0" fontId="28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3" fontId="115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right" vertical="top" wrapText="1"/>
    </xf>
    <xf numFmtId="3" fontId="28" fillId="0" borderId="0" xfId="0" applyNumberFormat="1" applyFont="1" applyBorder="1" applyAlignment="1">
      <alignment horizontal="right" vertical="top" wrapText="1"/>
    </xf>
    <xf numFmtId="3" fontId="28" fillId="0" borderId="0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top" wrapText="1"/>
    </xf>
    <xf numFmtId="3" fontId="26" fillId="0" borderId="0" xfId="0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3" fontId="115" fillId="0" borderId="10" xfId="0" applyNumberFormat="1" applyFont="1" applyBorder="1" applyAlignment="1">
      <alignment/>
    </xf>
    <xf numFmtId="3" fontId="114" fillId="0" borderId="10" xfId="0" applyNumberFormat="1" applyFont="1" applyBorder="1" applyAlignment="1">
      <alignment/>
    </xf>
    <xf numFmtId="0" fontId="115" fillId="0" borderId="10" xfId="0" applyFont="1" applyBorder="1" applyAlignment="1">
      <alignment vertical="center" wrapText="1"/>
    </xf>
    <xf numFmtId="3" fontId="11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15" fillId="0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4" fillId="0" borderId="0" xfId="0" applyFont="1" applyAlignment="1">
      <alignment/>
    </xf>
    <xf numFmtId="3" fontId="29" fillId="0" borderId="10" xfId="0" applyNumberFormat="1" applyFont="1" applyFill="1" applyBorder="1" applyAlignment="1">
      <alignment/>
    </xf>
    <xf numFmtId="3" fontId="114" fillId="0" borderId="0" xfId="0" applyNumberFormat="1" applyFont="1" applyAlignment="1">
      <alignment/>
    </xf>
    <xf numFmtId="0" fontId="114" fillId="19" borderId="0" xfId="0" applyFont="1" applyFill="1" applyAlignment="1">
      <alignment/>
    </xf>
    <xf numFmtId="0" fontId="29" fillId="0" borderId="0" xfId="0" applyFont="1" applyAlignment="1">
      <alignment vertical="center" wrapText="1"/>
    </xf>
    <xf numFmtId="3" fontId="5" fillId="0" borderId="10" xfId="0" applyNumberFormat="1" applyFont="1" applyBorder="1" applyAlignment="1">
      <alignment/>
    </xf>
    <xf numFmtId="3" fontId="12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14" fillId="0" borderId="125" xfId="0" applyNumberFormat="1" applyFont="1" applyFill="1" applyBorder="1" applyAlignment="1">
      <alignment horizontal="right" vertical="center" wrapText="1"/>
    </xf>
    <xf numFmtId="3" fontId="5" fillId="0" borderId="128" xfId="0" applyNumberFormat="1" applyFont="1" applyFill="1" applyBorder="1" applyAlignment="1">
      <alignment/>
    </xf>
    <xf numFmtId="10" fontId="18" fillId="0" borderId="10" xfId="68" applyNumberFormat="1" applyFont="1" applyBorder="1" applyAlignment="1">
      <alignment horizontal="right" wrapText="1"/>
    </xf>
    <xf numFmtId="3" fontId="7" fillId="0" borderId="10" xfId="0" applyNumberFormat="1" applyFont="1" applyFill="1" applyBorder="1" applyAlignment="1" quotePrefix="1">
      <alignment horizontal="left" vertical="center" indent="1"/>
    </xf>
    <xf numFmtId="3" fontId="7" fillId="0" borderId="10" xfId="0" applyNumberFormat="1" applyFont="1" applyFill="1" applyBorder="1" applyAlignment="1">
      <alignment horizontal="right" vertical="center"/>
    </xf>
    <xf numFmtId="10" fontId="7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10" fontId="5" fillId="0" borderId="10" xfId="68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left" vertical="center"/>
    </xf>
    <xf numFmtId="10" fontId="5" fillId="0" borderId="10" xfId="0" applyNumberFormat="1" applyFont="1" applyFill="1" applyBorder="1" applyAlignment="1">
      <alignment horizontal="right" vertical="center"/>
    </xf>
    <xf numFmtId="10" fontId="5" fillId="0" borderId="10" xfId="68" applyNumberFormat="1" applyFont="1" applyFill="1" applyBorder="1" applyAlignment="1">
      <alignment horizontal="right" vertical="center"/>
    </xf>
    <xf numFmtId="3" fontId="7" fillId="0" borderId="129" xfId="0" applyNumberFormat="1" applyFont="1" applyFill="1" applyBorder="1" applyAlignment="1">
      <alignment/>
    </xf>
    <xf numFmtId="0" fontId="7" fillId="0" borderId="17" xfId="0" applyFont="1" applyBorder="1" applyAlignment="1" quotePrefix="1">
      <alignment horizontal="left" indent="1"/>
    </xf>
    <xf numFmtId="0" fontId="7" fillId="0" borderId="19" xfId="0" applyFont="1" applyBorder="1" applyAlignment="1">
      <alignment horizontal="left" indent="1"/>
    </xf>
    <xf numFmtId="3" fontId="7" fillId="0" borderId="18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10" xfId="0" applyNumberFormat="1" applyFont="1" applyBorder="1" applyAlignment="1" quotePrefix="1">
      <alignment horizontal="left" vertical="center" indent="1"/>
    </xf>
    <xf numFmtId="3" fontId="7" fillId="0" borderId="10" xfId="0" applyNumberFormat="1" applyFont="1" applyFill="1" applyBorder="1" applyAlignment="1">
      <alignment horizontal="right" vertical="center"/>
    </xf>
    <xf numFmtId="10" fontId="0" fillId="0" borderId="10" xfId="68" applyNumberFormat="1" applyFont="1" applyFill="1" applyBorder="1" applyAlignment="1">
      <alignment horizontal="right" vertical="center"/>
    </xf>
    <xf numFmtId="10" fontId="0" fillId="0" borderId="10" xfId="68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" fontId="22" fillId="0" borderId="14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wrapText="1"/>
    </xf>
    <xf numFmtId="10" fontId="18" fillId="0" borderId="10" xfId="68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56" applyFill="1">
      <alignment/>
      <protection/>
    </xf>
    <xf numFmtId="0" fontId="1" fillId="0" borderId="0" xfId="56">
      <alignment/>
      <protection/>
    </xf>
    <xf numFmtId="0" fontId="1" fillId="0" borderId="0" xfId="56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5" fillId="0" borderId="0" xfId="56" applyFont="1" applyFill="1" applyBorder="1" applyAlignment="1">
      <alignment/>
      <protection/>
    </xf>
    <xf numFmtId="0" fontId="3" fillId="0" borderId="0" xfId="56" applyFont="1" applyFill="1" applyBorder="1" applyAlignment="1">
      <alignment wrapText="1"/>
      <protection/>
    </xf>
    <xf numFmtId="0" fontId="5" fillId="0" borderId="34" xfId="56" applyFont="1" applyFill="1" applyBorder="1" applyAlignment="1">
      <alignment horizontal="center" vertical="center"/>
      <protection/>
    </xf>
    <xf numFmtId="0" fontId="5" fillId="0" borderId="130" xfId="56" applyFont="1" applyFill="1" applyBorder="1" applyAlignment="1">
      <alignment/>
      <protection/>
    </xf>
    <xf numFmtId="3" fontId="0" fillId="0" borderId="131" xfId="56" applyNumberFormat="1" applyFont="1" applyFill="1" applyBorder="1" applyAlignment="1">
      <alignment/>
      <protection/>
    </xf>
    <xf numFmtId="3" fontId="0" fillId="0" borderId="53" xfId="56" applyNumberFormat="1" applyFont="1" applyFill="1" applyBorder="1" applyAlignment="1">
      <alignment/>
      <protection/>
    </xf>
    <xf numFmtId="3" fontId="0" fillId="0" borderId="48" xfId="56" applyNumberFormat="1" applyFont="1" applyFill="1" applyBorder="1" applyAlignment="1">
      <alignment/>
      <protection/>
    </xf>
    <xf numFmtId="3" fontId="0" fillId="0" borderId="132" xfId="56" applyNumberFormat="1" applyFont="1" applyFill="1" applyBorder="1" applyAlignment="1">
      <alignment/>
      <protection/>
    </xf>
    <xf numFmtId="3" fontId="5" fillId="0" borderId="48" xfId="56" applyNumberFormat="1" applyFont="1" applyFill="1" applyBorder="1" applyAlignment="1">
      <alignment/>
      <protection/>
    </xf>
    <xf numFmtId="0" fontId="5" fillId="0" borderId="133" xfId="56" applyFont="1" applyFill="1" applyBorder="1" applyAlignment="1">
      <alignment/>
      <protection/>
    </xf>
    <xf numFmtId="3" fontId="0" fillId="0" borderId="134" xfId="56" applyNumberFormat="1" applyFont="1" applyFill="1" applyBorder="1" applyAlignment="1">
      <alignment/>
      <protection/>
    </xf>
    <xf numFmtId="3" fontId="0" fillId="0" borderId="30" xfId="56" applyNumberFormat="1" applyFont="1" applyFill="1" applyBorder="1" applyAlignment="1">
      <alignment/>
      <protection/>
    </xf>
    <xf numFmtId="3" fontId="0" fillId="0" borderId="135" xfId="56" applyNumberFormat="1" applyFont="1" applyFill="1" applyBorder="1" applyAlignment="1">
      <alignment/>
      <protection/>
    </xf>
    <xf numFmtId="3" fontId="7" fillId="0" borderId="135" xfId="56" applyNumberFormat="1" applyFont="1" applyFill="1" applyBorder="1" applyAlignment="1">
      <alignment/>
      <protection/>
    </xf>
    <xf numFmtId="3" fontId="0" fillId="0" borderId="136" xfId="56" applyNumberFormat="1" applyFont="1" applyFill="1" applyBorder="1" applyAlignment="1">
      <alignment/>
      <protection/>
    </xf>
    <xf numFmtId="0" fontId="5" fillId="0" borderId="137" xfId="56" applyFont="1" applyFill="1" applyBorder="1" applyAlignment="1">
      <alignment/>
      <protection/>
    </xf>
    <xf numFmtId="3" fontId="0" fillId="0" borderId="138" xfId="56" applyNumberFormat="1" applyFont="1" applyFill="1" applyBorder="1" applyAlignment="1">
      <alignment/>
      <protection/>
    </xf>
    <xf numFmtId="3" fontId="0" fillId="0" borderId="41" xfId="56" applyNumberFormat="1" applyFont="1" applyFill="1" applyBorder="1" applyAlignment="1">
      <alignment/>
      <protection/>
    </xf>
    <xf numFmtId="3" fontId="0" fillId="0" borderId="46" xfId="56" applyNumberFormat="1" applyFont="1" applyFill="1" applyBorder="1" applyAlignment="1">
      <alignment/>
      <protection/>
    </xf>
    <xf numFmtId="0" fontId="11" fillId="0" borderId="54" xfId="56" applyFont="1" applyFill="1" applyBorder="1" applyAlignment="1">
      <alignment/>
      <protection/>
    </xf>
    <xf numFmtId="3" fontId="11" fillId="0" borderId="34" xfId="56" applyNumberFormat="1" applyFont="1" applyFill="1" applyBorder="1" applyAlignment="1">
      <alignment/>
      <protection/>
    </xf>
    <xf numFmtId="3" fontId="11" fillId="0" borderId="23" xfId="56" applyNumberFormat="1" applyFont="1" applyFill="1" applyBorder="1" applyAlignment="1">
      <alignment/>
      <protection/>
    </xf>
    <xf numFmtId="3" fontId="11" fillId="0" borderId="139" xfId="56" applyNumberFormat="1" applyFont="1" applyFill="1" applyBorder="1" applyAlignment="1">
      <alignment/>
      <protection/>
    </xf>
    <xf numFmtId="0" fontId="11" fillId="0" borderId="139" xfId="56" applyFont="1" applyFill="1" applyBorder="1" applyAlignment="1">
      <alignment/>
      <protection/>
    </xf>
    <xf numFmtId="3" fontId="11" fillId="0" borderId="0" xfId="56" applyNumberFormat="1" applyFont="1" applyFill="1" applyBorder="1" applyAlignment="1">
      <alignment/>
      <protection/>
    </xf>
    <xf numFmtId="3" fontId="11" fillId="0" borderId="0" xfId="56" applyNumberFormat="1" applyFont="1" applyBorder="1">
      <alignment/>
      <protection/>
    </xf>
    <xf numFmtId="0" fontId="122" fillId="0" borderId="0" xfId="0" applyFont="1" applyAlignment="1">
      <alignment horizontal="center" wrapText="1"/>
    </xf>
    <xf numFmtId="0" fontId="123" fillId="0" borderId="0" xfId="0" applyFont="1" applyAlignment="1">
      <alignment/>
    </xf>
    <xf numFmtId="0" fontId="42" fillId="0" borderId="28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2" xfId="0" applyFont="1" applyBorder="1" applyAlignment="1">
      <alignment/>
    </xf>
    <xf numFmtId="0" fontId="0" fillId="0" borderId="48" xfId="0" applyBorder="1" applyAlignment="1">
      <alignment/>
    </xf>
    <xf numFmtId="180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30" xfId="0" applyBorder="1" applyAlignment="1">
      <alignment/>
    </xf>
    <xf numFmtId="18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46" xfId="0" applyBorder="1" applyAlignment="1">
      <alignment/>
    </xf>
    <xf numFmtId="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3" fontId="42" fillId="0" borderId="35" xfId="0" applyNumberFormat="1" applyFont="1" applyBorder="1" applyAlignment="1">
      <alignment/>
    </xf>
    <xf numFmtId="3" fontId="42" fillId="0" borderId="22" xfId="0" applyNumberFormat="1" applyFont="1" applyBorder="1" applyAlignment="1">
      <alignment/>
    </xf>
    <xf numFmtId="186" fontId="0" fillId="0" borderId="0" xfId="0" applyNumberFormat="1" applyAlignment="1">
      <alignment/>
    </xf>
    <xf numFmtId="3" fontId="0" fillId="0" borderId="31" xfId="0" applyNumberForma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0" fontId="0" fillId="0" borderId="125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 wrapText="1"/>
    </xf>
    <xf numFmtId="0" fontId="0" fillId="0" borderId="140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/>
    </xf>
    <xf numFmtId="0" fontId="0" fillId="0" borderId="141" xfId="0" applyFont="1" applyBorder="1" applyAlignment="1">
      <alignment horizontal="center" vertical="center"/>
    </xf>
    <xf numFmtId="3" fontId="0" fillId="0" borderId="124" xfId="0" applyNumberFormat="1" applyBorder="1" applyAlignment="1">
      <alignment vertical="center" wrapText="1"/>
    </xf>
    <xf numFmtId="3" fontId="5" fillId="0" borderId="124" xfId="0" applyNumberFormat="1" applyFont="1" applyBorder="1" applyAlignment="1">
      <alignment vertical="center" wrapText="1"/>
    </xf>
    <xf numFmtId="3" fontId="0" fillId="0" borderId="124" xfId="0" applyNumberFormat="1" applyFont="1" applyBorder="1" applyAlignment="1">
      <alignment vertical="center" wrapText="1"/>
    </xf>
    <xf numFmtId="3" fontId="5" fillId="0" borderId="142" xfId="0" applyNumberFormat="1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3" fontId="0" fillId="0" borderId="48" xfId="0" applyNumberFormat="1" applyFont="1" applyFill="1" applyBorder="1" applyAlignment="1">
      <alignment vertical="center"/>
    </xf>
    <xf numFmtId="10" fontId="0" fillId="0" borderId="124" xfId="0" applyNumberFormat="1" applyFont="1" applyBorder="1" applyAlignment="1">
      <alignment/>
    </xf>
    <xf numFmtId="0" fontId="0" fillId="0" borderId="13" xfId="58" applyFont="1" applyBorder="1" applyAlignment="1">
      <alignment horizontal="center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0" xfId="58">
      <alignment/>
      <protection/>
    </xf>
    <xf numFmtId="0" fontId="0" fillId="0" borderId="0" xfId="58" applyAlignment="1">
      <alignment horizontal="right"/>
      <protection/>
    </xf>
    <xf numFmtId="0" fontId="1" fillId="0" borderId="0" xfId="61">
      <alignment/>
      <protection/>
    </xf>
    <xf numFmtId="0" fontId="0" fillId="0" borderId="17" xfId="58" applyBorder="1" applyAlignment="1">
      <alignment horizontal="left" vertical="center" wrapText="1"/>
      <protection/>
    </xf>
    <xf numFmtId="0" fontId="0" fillId="0" borderId="17" xfId="58" applyBorder="1" applyAlignment="1">
      <alignment horizontal="center" vertical="center" wrapText="1"/>
      <protection/>
    </xf>
    <xf numFmtId="3" fontId="0" fillId="0" borderId="17" xfId="58" applyNumberFormat="1" applyBorder="1" applyAlignment="1">
      <alignment horizontal="right" vertical="center" wrapText="1"/>
      <protection/>
    </xf>
    <xf numFmtId="4" fontId="0" fillId="0" borderId="10" xfId="58" applyNumberFormat="1" applyBorder="1" applyAlignment="1">
      <alignment horizontal="right" vertical="center" wrapText="1"/>
      <protection/>
    </xf>
    <xf numFmtId="0" fontId="0" fillId="0" borderId="10" xfId="58" applyBorder="1" applyAlignment="1">
      <alignment horizontal="center" vertical="center" wrapText="1"/>
      <protection/>
    </xf>
    <xf numFmtId="3" fontId="0" fillId="0" borderId="10" xfId="58" applyNumberFormat="1" applyBorder="1" applyAlignment="1">
      <alignment vertical="center" wrapText="1"/>
      <protection/>
    </xf>
    <xf numFmtId="4" fontId="0" fillId="0" borderId="10" xfId="58" applyNumberFormat="1" applyBorder="1" applyAlignment="1">
      <alignment vertical="center" wrapText="1"/>
      <protection/>
    </xf>
    <xf numFmtId="0" fontId="0" fillId="0" borderId="10" xfId="58" applyBorder="1" applyAlignment="1">
      <alignment horizontal="left" vertical="center" wrapText="1"/>
      <protection/>
    </xf>
    <xf numFmtId="0" fontId="0" fillId="0" borderId="10" xfId="58" applyBorder="1" applyAlignment="1">
      <alignment horizontal="left" vertical="center"/>
      <protection/>
    </xf>
    <xf numFmtId="0" fontId="0" fillId="0" borderId="10" xfId="58" applyBorder="1" applyAlignment="1">
      <alignment horizontal="right" vertical="center"/>
      <protection/>
    </xf>
    <xf numFmtId="0" fontId="0" fillId="0" borderId="20" xfId="58" applyBorder="1" applyAlignment="1">
      <alignment horizontal="right" vertical="center"/>
      <protection/>
    </xf>
    <xf numFmtId="2" fontId="0" fillId="0" borderId="20" xfId="58" applyNumberFormat="1" applyBorder="1" applyAlignment="1">
      <alignment horizontal="right" vertical="center"/>
      <protection/>
    </xf>
    <xf numFmtId="0" fontId="0" fillId="0" borderId="10" xfId="58" applyBorder="1" applyAlignment="1">
      <alignment vertical="center"/>
      <protection/>
    </xf>
    <xf numFmtId="0" fontId="0" fillId="0" borderId="15" xfId="58" applyBorder="1" applyAlignment="1">
      <alignment horizontal="left" vertical="center" wrapText="1"/>
      <protection/>
    </xf>
    <xf numFmtId="0" fontId="0" fillId="0" borderId="19" xfId="58" applyBorder="1" applyAlignment="1">
      <alignment horizontal="right" vertical="center"/>
      <protection/>
    </xf>
    <xf numFmtId="0" fontId="5" fillId="0" borderId="15" xfId="58" applyFont="1" applyBorder="1" applyAlignment="1">
      <alignment vertical="center"/>
      <protection/>
    </xf>
    <xf numFmtId="3" fontId="5" fillId="0" borderId="15" xfId="58" applyNumberFormat="1" applyFont="1" applyBorder="1" applyAlignment="1">
      <alignment vertical="center"/>
      <protection/>
    </xf>
    <xf numFmtId="4" fontId="5" fillId="0" borderId="10" xfId="58" applyNumberFormat="1" applyFont="1" applyBorder="1" applyAlignment="1">
      <alignment horizontal="right" vertical="center" wrapText="1"/>
      <protection/>
    </xf>
    <xf numFmtId="0" fontId="5" fillId="0" borderId="15" xfId="58" applyFont="1" applyBorder="1" applyAlignment="1">
      <alignment horizontal="center" vertical="center"/>
      <protection/>
    </xf>
    <xf numFmtId="3" fontId="5" fillId="0" borderId="19" xfId="58" applyNumberFormat="1" applyFont="1" applyBorder="1" applyAlignment="1">
      <alignment vertical="center"/>
      <protection/>
    </xf>
    <xf numFmtId="2" fontId="5" fillId="0" borderId="20" xfId="58" applyNumberFormat="1" applyFont="1" applyBorder="1" applyAlignment="1">
      <alignment horizontal="right" vertical="center"/>
      <protection/>
    </xf>
    <xf numFmtId="3" fontId="5" fillId="0" borderId="10" xfId="58" applyNumberFormat="1" applyFont="1" applyBorder="1" applyAlignment="1">
      <alignment vertical="center"/>
      <protection/>
    </xf>
    <xf numFmtId="4" fontId="5" fillId="0" borderId="10" xfId="58" applyNumberFormat="1" applyFont="1" applyBorder="1" applyAlignment="1">
      <alignment vertical="center" wrapText="1"/>
      <protection/>
    </xf>
    <xf numFmtId="4" fontId="0" fillId="0" borderId="126" xfId="0" applyNumberFormat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10" fontId="0" fillId="0" borderId="10" xfId="68" applyNumberForma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wrapText="1"/>
    </xf>
    <xf numFmtId="10" fontId="5" fillId="0" borderId="10" xfId="68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10" fontId="3" fillId="0" borderId="10" xfId="0" applyNumberFormat="1" applyFont="1" applyBorder="1" applyAlignment="1">
      <alignment/>
    </xf>
    <xf numFmtId="0" fontId="115" fillId="0" borderId="0" xfId="0" applyFont="1" applyBorder="1" applyAlignment="1">
      <alignment horizontal="center" vertical="top" wrapText="1"/>
    </xf>
    <xf numFmtId="3" fontId="115" fillId="0" borderId="0" xfId="0" applyNumberFormat="1" applyFont="1" applyBorder="1" applyAlignment="1">
      <alignment horizontal="center" vertical="top" wrapText="1"/>
    </xf>
    <xf numFmtId="0" fontId="114" fillId="0" borderId="10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29" fillId="0" borderId="0" xfId="0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37" xfId="58" applyFont="1" applyBorder="1" applyAlignment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3" fillId="0" borderId="0" xfId="58" applyFont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43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13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right"/>
      <protection/>
    </xf>
    <xf numFmtId="0" fontId="7" fillId="0" borderId="0" xfId="58" applyFont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3" fillId="0" borderId="124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0" fillId="0" borderId="11" xfId="58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144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3" fontId="0" fillId="0" borderId="17" xfId="0" applyNumberFormat="1" applyBorder="1" applyAlignment="1">
      <alignment horizontal="center" wrapText="1"/>
    </xf>
    <xf numFmtId="0" fontId="0" fillId="0" borderId="127" xfId="0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  <xf numFmtId="3" fontId="0" fillId="0" borderId="17" xfId="0" applyNumberFormat="1" applyFont="1" applyBorder="1" applyAlignment="1">
      <alignment horizontal="center" wrapText="1"/>
    </xf>
    <xf numFmtId="0" fontId="0" fillId="0" borderId="144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144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/>
    </xf>
    <xf numFmtId="0" fontId="9" fillId="0" borderId="12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4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3" fontId="9" fillId="0" borderId="143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43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left" vertical="center"/>
    </xf>
    <xf numFmtId="3" fontId="17" fillId="0" borderId="12" xfId="0" applyNumberFormat="1" applyFont="1" applyBorder="1" applyAlignment="1">
      <alignment horizontal="left" vertical="center"/>
    </xf>
    <xf numFmtId="3" fontId="17" fillId="0" borderId="37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3" fontId="17" fillId="0" borderId="18" xfId="0" applyNumberFormat="1" applyFont="1" applyBorder="1" applyAlignment="1">
      <alignment horizontal="left" vertical="center"/>
    </xf>
    <xf numFmtId="3" fontId="17" fillId="0" borderId="16" xfId="0" applyNumberFormat="1" applyFont="1" applyBorder="1" applyAlignment="1">
      <alignment horizontal="left" vertical="center"/>
    </xf>
    <xf numFmtId="3" fontId="17" fillId="0" borderId="143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43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0" fillId="0" borderId="14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9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14" fillId="0" borderId="0" xfId="0" applyFont="1" applyAlignment="1">
      <alignment horizontal="right"/>
    </xf>
    <xf numFmtId="0" fontId="117" fillId="0" borderId="12" xfId="0" applyFont="1" applyBorder="1" applyAlignment="1">
      <alignment horizontal="right"/>
    </xf>
    <xf numFmtId="0" fontId="114" fillId="0" borderId="146" xfId="0" applyFont="1" applyBorder="1" applyAlignment="1">
      <alignment horizontal="center" vertical="center" wrapText="1"/>
    </xf>
    <xf numFmtId="0" fontId="114" fillId="0" borderId="126" xfId="0" applyFont="1" applyBorder="1" applyAlignment="1">
      <alignment horizontal="center" vertical="center" wrapText="1"/>
    </xf>
    <xf numFmtId="0" fontId="114" fillId="0" borderId="1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/>
    </xf>
    <xf numFmtId="0" fontId="114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8" fillId="0" borderId="11" xfId="0" applyFont="1" applyBorder="1" applyAlignment="1">
      <alignment horizontal="center" vertical="center" wrapText="1"/>
    </xf>
    <xf numFmtId="0" fontId="118" fillId="0" borderId="14" xfId="0" applyFont="1" applyBorder="1" applyAlignment="1">
      <alignment horizontal="center" vertical="center" wrapText="1"/>
    </xf>
    <xf numFmtId="0" fontId="11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147" xfId="0" applyFont="1" applyBorder="1" applyAlignment="1">
      <alignment horizontal="center" vertical="center" wrapText="1"/>
    </xf>
    <xf numFmtId="0" fontId="5" fillId="0" borderId="148" xfId="0" applyFont="1" applyBorder="1" applyAlignment="1">
      <alignment horizontal="center" vertical="center" wrapText="1"/>
    </xf>
    <xf numFmtId="0" fontId="5" fillId="0" borderId="14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56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5" fillId="0" borderId="12" xfId="0" applyFont="1" applyBorder="1" applyAlignment="1">
      <alignment horizontal="right"/>
    </xf>
    <xf numFmtId="0" fontId="77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5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3" fontId="12" fillId="26" borderId="0" xfId="0" applyNumberFormat="1" applyFont="1" applyFill="1" applyAlignment="1">
      <alignment vertical="center"/>
    </xf>
    <xf numFmtId="0" fontId="12" fillId="26" borderId="0" xfId="0" applyFont="1" applyFill="1" applyAlignment="1">
      <alignment vertical="center"/>
    </xf>
    <xf numFmtId="0" fontId="8" fillId="25" borderId="0" xfId="0" applyFont="1" applyFill="1" applyAlignment="1">
      <alignment horizontal="center" vertical="center"/>
    </xf>
    <xf numFmtId="0" fontId="3" fillId="24" borderId="34" xfId="0" applyFont="1" applyFill="1" applyBorder="1" applyAlignment="1">
      <alignment horizontal="left" vertical="center"/>
    </xf>
    <xf numFmtId="0" fontId="3" fillId="24" borderId="35" xfId="0" applyFont="1" applyFill="1" applyBorder="1" applyAlignment="1">
      <alignment horizontal="left" vertical="center"/>
    </xf>
    <xf numFmtId="0" fontId="3" fillId="24" borderId="22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25" borderId="0" xfId="0" applyFont="1" applyFill="1" applyAlignment="1">
      <alignment horizontal="center"/>
    </xf>
    <xf numFmtId="3" fontId="3" fillId="24" borderId="10" xfId="0" applyNumberFormat="1" applyFont="1" applyFill="1" applyBorder="1" applyAlignment="1">
      <alignment horizontal="left"/>
    </xf>
    <xf numFmtId="3" fontId="3" fillId="24" borderId="10" xfId="0" applyNumberFormat="1" applyFont="1" applyFill="1" applyBorder="1" applyAlignment="1">
      <alignment horizontal="left"/>
    </xf>
    <xf numFmtId="3" fontId="3" fillId="24" borderId="20" xfId="0" applyNumberFormat="1" applyFont="1" applyFill="1" applyBorder="1" applyAlignment="1">
      <alignment horizontal="left"/>
    </xf>
    <xf numFmtId="3" fontId="3" fillId="24" borderId="21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3" fillId="24" borderId="0" xfId="0" applyFont="1" applyFill="1" applyAlignment="1">
      <alignment horizontal="left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3" fillId="25" borderId="0" xfId="0" applyFont="1" applyFill="1" applyAlignment="1">
      <alignment horizontal="left"/>
    </xf>
    <xf numFmtId="0" fontId="3" fillId="25" borderId="0" xfId="0" applyFont="1" applyFill="1" applyAlignment="1">
      <alignment horizontal="left"/>
    </xf>
    <xf numFmtId="0" fontId="35" fillId="0" borderId="0" xfId="0" applyFont="1" applyAlignment="1">
      <alignment horizontal="center"/>
    </xf>
    <xf numFmtId="0" fontId="3" fillId="24" borderId="0" xfId="0" applyFont="1" applyFill="1" applyAlignment="1">
      <alignment horizontal="left"/>
    </xf>
    <xf numFmtId="0" fontId="3" fillId="25" borderId="1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3" fillId="24" borderId="50" xfId="0" applyFont="1" applyFill="1" applyBorder="1" applyAlignment="1">
      <alignment horizontal="left"/>
    </xf>
    <xf numFmtId="0" fontId="3" fillId="24" borderId="51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24" borderId="34" xfId="0" applyFont="1" applyFill="1" applyBorder="1" applyAlignment="1">
      <alignment horizontal="left"/>
    </xf>
    <xf numFmtId="0" fontId="3" fillId="24" borderId="35" xfId="0" applyFont="1" applyFill="1" applyBorder="1" applyAlignment="1">
      <alignment horizontal="left"/>
    </xf>
    <xf numFmtId="0" fontId="3" fillId="24" borderId="34" xfId="0" applyFont="1" applyFill="1" applyBorder="1" applyAlignment="1">
      <alignment horizontal="left"/>
    </xf>
    <xf numFmtId="0" fontId="3" fillId="24" borderId="35" xfId="0" applyFont="1" applyFill="1" applyBorder="1" applyAlignment="1">
      <alignment horizontal="left"/>
    </xf>
    <xf numFmtId="0" fontId="8" fillId="25" borderId="54" xfId="0" applyFont="1" applyFill="1" applyBorder="1" applyAlignment="1">
      <alignment horizontal="center"/>
    </xf>
    <xf numFmtId="0" fontId="8" fillId="25" borderId="45" xfId="0" applyFont="1" applyFill="1" applyBorder="1" applyAlignment="1">
      <alignment horizontal="center"/>
    </xf>
    <xf numFmtId="0" fontId="8" fillId="25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25" borderId="34" xfId="0" applyFont="1" applyFill="1" applyBorder="1" applyAlignment="1">
      <alignment horizontal="left"/>
    </xf>
    <xf numFmtId="0" fontId="3" fillId="25" borderId="35" xfId="0" applyFont="1" applyFill="1" applyBorder="1" applyAlignment="1">
      <alignment horizontal="left"/>
    </xf>
    <xf numFmtId="0" fontId="8" fillId="25" borderId="15" xfId="0" applyFont="1" applyFill="1" applyBorder="1" applyAlignment="1">
      <alignment horizontal="center"/>
    </xf>
    <xf numFmtId="0" fontId="8" fillId="31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25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24" borderId="10" xfId="0" applyFont="1" applyFill="1" applyBorder="1" applyAlignment="1">
      <alignment horizontal="left"/>
    </xf>
    <xf numFmtId="0" fontId="16" fillId="25" borderId="0" xfId="0" applyFont="1" applyFill="1" applyAlignment="1">
      <alignment horizontal="center"/>
    </xf>
    <xf numFmtId="0" fontId="10" fillId="25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0" fillId="24" borderId="0" xfId="0" applyFont="1" applyFill="1" applyAlignment="1">
      <alignment horizontal="left"/>
    </xf>
    <xf numFmtId="0" fontId="36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3" fillId="24" borderId="54" xfId="0" applyFont="1" applyFill="1" applyBorder="1" applyAlignment="1">
      <alignment horizontal="left"/>
    </xf>
    <xf numFmtId="0" fontId="3" fillId="24" borderId="45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26" borderId="0" xfId="0" applyFont="1" applyFill="1" applyAlignment="1">
      <alignment horizontal="center"/>
    </xf>
    <xf numFmtId="0" fontId="7" fillId="2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24" borderId="34" xfId="0" applyFont="1" applyFill="1" applyBorder="1" applyAlignment="1">
      <alignment horizontal="left"/>
    </xf>
    <xf numFmtId="0" fontId="10" fillId="24" borderId="35" xfId="0" applyFont="1" applyFill="1" applyBorder="1" applyAlignment="1">
      <alignment horizontal="left"/>
    </xf>
    <xf numFmtId="0" fontId="3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25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3" fillId="25" borderId="34" xfId="0" applyFont="1" applyFill="1" applyBorder="1" applyAlignment="1">
      <alignment horizontal="left"/>
    </xf>
    <xf numFmtId="0" fontId="3" fillId="25" borderId="35" xfId="0" applyFont="1" applyFill="1" applyBorder="1" applyAlignment="1">
      <alignment horizontal="left"/>
    </xf>
    <xf numFmtId="0" fontId="0" fillId="26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4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right" vertical="center"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49" fillId="0" borderId="150" xfId="60" applyFont="1" applyBorder="1" applyAlignment="1">
      <alignment horizontal="left" indent="1"/>
      <protection/>
    </xf>
    <xf numFmtId="0" fontId="49" fillId="0" borderId="151" xfId="60" applyFont="1" applyBorder="1" applyAlignment="1">
      <alignment horizontal="left" indent="1"/>
      <protection/>
    </xf>
    <xf numFmtId="0" fontId="49" fillId="0" borderId="152" xfId="60" applyBorder="1" applyAlignment="1">
      <alignment horizontal="left" indent="1"/>
      <protection/>
    </xf>
    <xf numFmtId="0" fontId="53" fillId="0" borderId="78" xfId="60" applyFont="1" applyBorder="1" applyAlignment="1">
      <alignment horizontal="center"/>
      <protection/>
    </xf>
    <xf numFmtId="0" fontId="51" fillId="0" borderId="0" xfId="60" applyFont="1" applyBorder="1" applyAlignment="1">
      <alignment horizontal="left" indent="11"/>
      <protection/>
    </xf>
    <xf numFmtId="0" fontId="45" fillId="0" borderId="0" xfId="60" applyFont="1" applyBorder="1" applyAlignment="1">
      <alignment horizontal="left" indent="11"/>
      <protection/>
    </xf>
    <xf numFmtId="0" fontId="52" fillId="0" borderId="150" xfId="60" applyFont="1" applyBorder="1" applyAlignment="1">
      <alignment horizontal="left" indent="1"/>
      <protection/>
    </xf>
    <xf numFmtId="0" fontId="52" fillId="0" borderId="151" xfId="60" applyFont="1" applyBorder="1" applyAlignment="1">
      <alignment horizontal="left" indent="1"/>
      <protection/>
    </xf>
    <xf numFmtId="0" fontId="52" fillId="0" borderId="152" xfId="60" applyFont="1" applyBorder="1" applyAlignment="1">
      <alignment horizontal="left" indent="1"/>
      <protection/>
    </xf>
    <xf numFmtId="0" fontId="49" fillId="0" borderId="60" xfId="60" applyFont="1" applyBorder="1" applyAlignment="1">
      <alignment/>
      <protection/>
    </xf>
    <xf numFmtId="0" fontId="49" fillId="0" borderId="61" xfId="60" applyFont="1" applyBorder="1" applyAlignment="1">
      <alignment/>
      <protection/>
    </xf>
    <xf numFmtId="0" fontId="45" fillId="0" borderId="61" xfId="60" applyFont="1" applyBorder="1" applyAlignment="1">
      <alignment horizontal="left" indent="1"/>
      <protection/>
    </xf>
    <xf numFmtId="0" fontId="49" fillId="0" borderId="61" xfId="60" applyBorder="1" applyAlignment="1">
      <alignment horizontal="left" indent="1"/>
      <protection/>
    </xf>
    <xf numFmtId="0" fontId="51" fillId="22" borderId="82" xfId="60" applyFont="1" applyFill="1" applyBorder="1" applyAlignment="1">
      <alignment horizontal="center" vertical="center"/>
      <protection/>
    </xf>
    <xf numFmtId="0" fontId="49" fillId="0" borderId="63" xfId="60" applyFont="1" applyBorder="1" applyAlignment="1">
      <alignment horizontal="left" indent="1"/>
      <protection/>
    </xf>
    <xf numFmtId="0" fontId="49" fillId="0" borderId="63" xfId="60" applyBorder="1" applyAlignment="1">
      <alignment horizontal="left" indent="1"/>
      <protection/>
    </xf>
    <xf numFmtId="0" fontId="49" fillId="0" borderId="152" xfId="60" applyFont="1" applyBorder="1" applyAlignment="1">
      <alignment horizontal="left" indent="1"/>
      <protection/>
    </xf>
    <xf numFmtId="0" fontId="45" fillId="0" borderId="63" xfId="60" applyFont="1" applyBorder="1" applyAlignment="1">
      <alignment horizontal="left" indent="1"/>
      <protection/>
    </xf>
    <xf numFmtId="0" fontId="49" fillId="0" borderId="64" xfId="60" applyFont="1" applyBorder="1" applyAlignment="1">
      <alignment/>
      <protection/>
    </xf>
    <xf numFmtId="0" fontId="49" fillId="0" borderId="63" xfId="60" applyFont="1" applyBorder="1" applyAlignment="1">
      <alignment/>
      <protection/>
    </xf>
    <xf numFmtId="0" fontId="49" fillId="0" borderId="63" xfId="60" applyFont="1" applyBorder="1" applyAlignment="1">
      <alignment horizontal="left" vertical="center" indent="1"/>
      <protection/>
    </xf>
    <xf numFmtId="0" fontId="45" fillId="0" borderId="59" xfId="60" applyFont="1" applyBorder="1" applyAlignment="1">
      <alignment horizontal="center" vertical="center"/>
      <protection/>
    </xf>
    <xf numFmtId="0" fontId="49" fillId="0" borderId="59" xfId="60" applyFont="1" applyBorder="1" applyAlignment="1">
      <alignment vertical="center"/>
      <protection/>
    </xf>
    <xf numFmtId="0" fontId="45" fillId="0" borderId="153" xfId="60" applyFont="1" applyBorder="1" applyAlignment="1">
      <alignment horizontal="left" vertical="center" indent="1"/>
      <protection/>
    </xf>
    <xf numFmtId="0" fontId="49" fillId="0" borderId="154" xfId="60" applyBorder="1" applyAlignment="1">
      <alignment horizontal="left" vertical="center" indent="1"/>
      <protection/>
    </xf>
    <xf numFmtId="0" fontId="49" fillId="0" borderId="75" xfId="60" applyBorder="1" applyAlignment="1">
      <alignment horizontal="left" indent="1"/>
      <protection/>
    </xf>
    <xf numFmtId="0" fontId="49" fillId="0" borderId="155" xfId="60" applyFont="1" applyBorder="1" applyAlignment="1">
      <alignment horizontal="left" indent="1"/>
      <protection/>
    </xf>
    <xf numFmtId="0" fontId="49" fillId="0" borderId="156" xfId="60" applyFont="1" applyBorder="1" applyAlignment="1">
      <alignment horizontal="left" indent="1"/>
      <protection/>
    </xf>
    <xf numFmtId="0" fontId="49" fillId="0" borderId="157" xfId="60" applyBorder="1" applyAlignment="1">
      <alignment horizontal="left" indent="1"/>
      <protection/>
    </xf>
    <xf numFmtId="0" fontId="51" fillId="0" borderId="67" xfId="60" applyFont="1" applyBorder="1" applyAlignment="1">
      <alignment horizontal="center"/>
      <protection/>
    </xf>
    <xf numFmtId="0" fontId="45" fillId="22" borderId="83" xfId="60" applyFont="1" applyFill="1" applyBorder="1" applyAlignment="1">
      <alignment horizontal="center" vertical="center"/>
      <protection/>
    </xf>
    <xf numFmtId="0" fontId="45" fillId="22" borderId="84" xfId="60" applyFont="1" applyFill="1" applyBorder="1" applyAlignment="1">
      <alignment horizontal="center" vertical="center"/>
      <protection/>
    </xf>
    <xf numFmtId="0" fontId="45" fillId="22" borderId="85" xfId="60" applyFont="1" applyFill="1" applyBorder="1" applyAlignment="1">
      <alignment horizontal="center" vertical="center"/>
      <protection/>
    </xf>
    <xf numFmtId="0" fontId="45" fillId="0" borderId="56" xfId="60" applyFont="1" applyBorder="1" applyAlignment="1">
      <alignment horizontal="center" vertical="center"/>
      <protection/>
    </xf>
    <xf numFmtId="0" fontId="45" fillId="0" borderId="59" xfId="60" applyFont="1" applyBorder="1" applyAlignment="1">
      <alignment vertical="center"/>
      <protection/>
    </xf>
    <xf numFmtId="0" fontId="49" fillId="0" borderId="64" xfId="60" applyBorder="1" applyAlignment="1">
      <alignment vertical="center"/>
      <protection/>
    </xf>
    <xf numFmtId="0" fontId="49" fillId="0" borderId="63" xfId="60" applyBorder="1" applyAlignment="1">
      <alignment vertical="center"/>
      <protection/>
    </xf>
    <xf numFmtId="0" fontId="45" fillId="0" borderId="59" xfId="60" applyFont="1" applyBorder="1" applyAlignment="1">
      <alignment horizontal="center" vertical="center" wrapText="1"/>
      <protection/>
    </xf>
    <xf numFmtId="0" fontId="45" fillId="0" borderId="59" xfId="60" applyFont="1" applyBorder="1" applyAlignment="1">
      <alignment vertical="center" wrapText="1"/>
      <protection/>
    </xf>
    <xf numFmtId="0" fontId="45" fillId="0" borderId="63" xfId="60" applyFont="1" applyBorder="1" applyAlignment="1">
      <alignment horizontal="center" vertical="center" wrapText="1"/>
      <protection/>
    </xf>
    <xf numFmtId="0" fontId="45" fillId="0" borderId="63" xfId="60" applyFont="1" applyBorder="1" applyAlignment="1">
      <alignment vertical="center" wrapText="1"/>
      <protection/>
    </xf>
    <xf numFmtId="1" fontId="45" fillId="0" borderId="158" xfId="60" applyNumberFormat="1" applyFont="1" applyBorder="1" applyAlignment="1">
      <alignment horizontal="left" indent="1"/>
      <protection/>
    </xf>
    <xf numFmtId="0" fontId="49" fillId="0" borderId="67" xfId="60" applyBorder="1" applyAlignment="1">
      <alignment horizontal="left" indent="1"/>
      <protection/>
    </xf>
    <xf numFmtId="0" fontId="49" fillId="0" borderId="159" xfId="60" applyBorder="1" applyAlignment="1">
      <alignment horizontal="left" indent="1"/>
      <protection/>
    </xf>
    <xf numFmtId="0" fontId="49" fillId="0" borderId="56" xfId="60" applyFont="1" applyBorder="1" applyAlignment="1">
      <alignment horizontal="right" vertical="top"/>
      <protection/>
    </xf>
    <xf numFmtId="0" fontId="49" fillId="0" borderId="60" xfId="60" applyFont="1" applyBorder="1" applyAlignment="1">
      <alignment horizontal="right" vertical="top"/>
      <protection/>
    </xf>
    <xf numFmtId="0" fontId="47" fillId="7" borderId="60" xfId="60" applyFont="1" applyFill="1" applyBorder="1" applyAlignment="1">
      <alignment horizontal="center" vertical="center"/>
      <protection/>
    </xf>
    <xf numFmtId="0" fontId="47" fillId="7" borderId="61" xfId="60" applyFont="1" applyFill="1" applyBorder="1" applyAlignment="1">
      <alignment horizontal="center" vertical="center"/>
      <protection/>
    </xf>
    <xf numFmtId="0" fontId="47" fillId="7" borderId="62" xfId="60" applyFont="1" applyFill="1" applyBorder="1" applyAlignment="1">
      <alignment horizontal="center" vertical="center"/>
      <protection/>
    </xf>
    <xf numFmtId="0" fontId="49" fillId="0" borderId="63" xfId="60" applyFont="1" applyBorder="1" applyAlignment="1">
      <alignment vertical="center"/>
      <protection/>
    </xf>
    <xf numFmtId="0" fontId="49" fillId="0" borderId="153" xfId="60" applyFont="1" applyBorder="1" applyAlignment="1">
      <alignment horizontal="left" indent="1"/>
      <protection/>
    </xf>
    <xf numFmtId="0" fontId="49" fillId="0" borderId="154" xfId="60" applyFont="1" applyBorder="1" applyAlignment="1">
      <alignment horizontal="left"/>
      <protection/>
    </xf>
    <xf numFmtId="0" fontId="49" fillId="0" borderId="75" xfId="60" applyFont="1" applyBorder="1" applyAlignment="1">
      <alignment horizontal="left"/>
      <protection/>
    </xf>
    <xf numFmtId="0" fontId="45" fillId="0" borderId="56" xfId="60" applyFont="1" applyBorder="1" applyAlignment="1">
      <alignment horizontal="right" vertical="top"/>
      <protection/>
    </xf>
    <xf numFmtId="0" fontId="45" fillId="0" borderId="60" xfId="60" applyFont="1" applyBorder="1" applyAlignment="1">
      <alignment horizontal="right" vertical="top"/>
      <protection/>
    </xf>
    <xf numFmtId="0" fontId="49" fillId="0" borderId="59" xfId="60" applyFont="1" applyBorder="1" applyAlignment="1">
      <alignment horizontal="right" vertical="top"/>
      <protection/>
    </xf>
    <xf numFmtId="0" fontId="49" fillId="0" borderId="61" xfId="60" applyFont="1" applyBorder="1" applyAlignment="1">
      <alignment horizontal="right" vertical="top"/>
      <protection/>
    </xf>
    <xf numFmtId="3" fontId="45" fillId="0" borderId="57" xfId="60" applyNumberFormat="1" applyFont="1" applyBorder="1" applyAlignment="1">
      <alignment horizontal="right"/>
      <protection/>
    </xf>
    <xf numFmtId="3" fontId="45" fillId="0" borderId="62" xfId="60" applyNumberFormat="1" applyFont="1" applyBorder="1" applyAlignment="1">
      <alignment horizontal="right"/>
      <protection/>
    </xf>
    <xf numFmtId="1" fontId="49" fillId="0" borderId="61" xfId="60" applyNumberFormat="1" applyFont="1" applyBorder="1" applyAlignment="1">
      <alignment horizontal="left" indent="3"/>
      <protection/>
    </xf>
    <xf numFmtId="0" fontId="49" fillId="0" borderId="61" xfId="60" applyFont="1" applyBorder="1" applyAlignment="1">
      <alignment horizontal="left" indent="3"/>
      <protection/>
    </xf>
    <xf numFmtId="0" fontId="45" fillId="0" borderId="59" xfId="60" applyFont="1" applyBorder="1" applyAlignment="1">
      <alignment horizontal="left" vertical="center" indent="1"/>
      <protection/>
    </xf>
    <xf numFmtId="3" fontId="49" fillId="0" borderId="57" xfId="60" applyNumberFormat="1" applyFont="1" applyBorder="1" applyAlignment="1">
      <alignment horizontal="left"/>
      <protection/>
    </xf>
    <xf numFmtId="3" fontId="49" fillId="0" borderId="62" xfId="60" applyNumberFormat="1" applyFont="1" applyBorder="1" applyAlignment="1">
      <alignment horizontal="left"/>
      <protection/>
    </xf>
    <xf numFmtId="0" fontId="49" fillId="0" borderId="160" xfId="60" applyFont="1" applyBorder="1" applyAlignment="1">
      <alignment horizontal="right" vertical="top"/>
      <protection/>
    </xf>
    <xf numFmtId="0" fontId="49" fillId="0" borderId="71" xfId="60" applyFont="1" applyBorder="1" applyAlignment="1">
      <alignment horizontal="right" vertical="top"/>
      <protection/>
    </xf>
    <xf numFmtId="3" fontId="49" fillId="0" borderId="161" xfId="60" applyNumberFormat="1" applyFont="1" applyBorder="1" applyAlignment="1">
      <alignment horizontal="left"/>
      <protection/>
    </xf>
    <xf numFmtId="0" fontId="45" fillId="0" borderId="69" xfId="60" applyFont="1" applyBorder="1" applyAlignment="1">
      <alignment horizontal="left" vertical="center" indent="1"/>
      <protection/>
    </xf>
    <xf numFmtId="0" fontId="49" fillId="0" borderId="69" xfId="60" applyBorder="1" applyAlignment="1">
      <alignment horizontal="left" vertical="center" indent="1"/>
      <protection/>
    </xf>
    <xf numFmtId="0" fontId="49" fillId="0" borderId="63" xfId="60" applyFont="1" applyBorder="1" applyAlignment="1">
      <alignment horizontal="left" vertical="center" wrapText="1" indent="1"/>
      <protection/>
    </xf>
    <xf numFmtId="0" fontId="53" fillId="0" borderId="162" xfId="60" applyFont="1" applyBorder="1" applyAlignment="1">
      <alignment horizontal="center" vertical="center" wrapText="1"/>
      <protection/>
    </xf>
    <xf numFmtId="0" fontId="64" fillId="0" borderId="154" xfId="60" applyFont="1" applyBorder="1" applyAlignment="1">
      <alignment vertical="center" wrapText="1"/>
      <protection/>
    </xf>
    <xf numFmtId="0" fontId="64" fillId="0" borderId="75" xfId="60" applyFont="1" applyBorder="1" applyAlignment="1">
      <alignment vertical="center" wrapText="1"/>
      <protection/>
    </xf>
    <xf numFmtId="0" fontId="50" fillId="7" borderId="68" xfId="60" applyFont="1" applyFill="1" applyBorder="1" applyAlignment="1">
      <alignment horizontal="center" vertical="center"/>
      <protection/>
    </xf>
    <xf numFmtId="0" fontId="50" fillId="7" borderId="69" xfId="60" applyFont="1" applyFill="1" applyBorder="1" applyAlignment="1">
      <alignment horizontal="center" vertical="center"/>
      <protection/>
    </xf>
    <xf numFmtId="0" fontId="50" fillId="7" borderId="70" xfId="60" applyFont="1" applyFill="1" applyBorder="1" applyAlignment="1">
      <alignment horizontal="center" vertical="center"/>
      <protection/>
    </xf>
    <xf numFmtId="0" fontId="45" fillId="0" borderId="80" xfId="60" applyFont="1" applyBorder="1" applyAlignment="1">
      <alignment horizontal="center" vertical="center"/>
      <protection/>
    </xf>
    <xf numFmtId="0" fontId="49" fillId="0" borderId="80" xfId="60" applyFont="1" applyBorder="1" applyAlignment="1">
      <alignment vertical="center"/>
      <protection/>
    </xf>
    <xf numFmtId="0" fontId="49" fillId="0" borderId="59" xfId="60" applyBorder="1" applyAlignment="1">
      <alignment horizontal="center" vertical="center"/>
      <protection/>
    </xf>
    <xf numFmtId="0" fontId="51" fillId="0" borderId="0" xfId="60" applyFont="1" applyBorder="1" applyAlignment="1">
      <alignment horizontal="left" indent="1"/>
      <protection/>
    </xf>
    <xf numFmtId="0" fontId="57" fillId="0" borderId="0" xfId="60" applyFont="1" applyBorder="1" applyAlignment="1">
      <alignment/>
      <protection/>
    </xf>
    <xf numFmtId="0" fontId="49" fillId="0" borderId="150" xfId="60" applyFont="1" applyBorder="1" applyAlignment="1">
      <alignment horizontal="left" vertical="center" indent="1"/>
      <protection/>
    </xf>
    <xf numFmtId="0" fontId="49" fillId="0" borderId="151" xfId="60" applyFont="1" applyBorder="1" applyAlignment="1">
      <alignment horizontal="left" vertical="center" indent="1"/>
      <protection/>
    </xf>
    <xf numFmtId="0" fontId="49" fillId="0" borderId="152" xfId="60" applyBorder="1" applyAlignment="1">
      <alignment horizontal="left" vertical="center" indent="1"/>
      <protection/>
    </xf>
    <xf numFmtId="0" fontId="49" fillId="0" borderId="63" xfId="60" applyBorder="1" applyAlignment="1">
      <alignment/>
      <protection/>
    </xf>
    <xf numFmtId="0" fontId="49" fillId="0" borderId="75" xfId="60" applyBorder="1" applyAlignment="1">
      <alignment horizontal="left" vertical="center" indent="1"/>
      <protection/>
    </xf>
    <xf numFmtId="0" fontId="51" fillId="0" borderId="0" xfId="60" applyFont="1" applyBorder="1" applyAlignment="1">
      <alignment horizontal="left" vertical="center" indent="1"/>
      <protection/>
    </xf>
    <xf numFmtId="0" fontId="49" fillId="0" borderId="0" xfId="60" applyBorder="1" applyAlignment="1">
      <alignment/>
      <protection/>
    </xf>
    <xf numFmtId="0" fontId="49" fillId="0" borderId="64" xfId="60" applyFont="1" applyBorder="1" applyAlignment="1">
      <alignment horizontal="right" vertical="top"/>
      <protection/>
    </xf>
    <xf numFmtId="0" fontId="49" fillId="0" borderId="63" xfId="60" applyFont="1" applyBorder="1" applyAlignment="1">
      <alignment horizontal="right" vertical="top"/>
      <protection/>
    </xf>
    <xf numFmtId="3" fontId="49" fillId="0" borderId="58" xfId="60" applyNumberFormat="1" applyFont="1" applyBorder="1" applyAlignment="1">
      <alignment horizontal="left"/>
      <protection/>
    </xf>
    <xf numFmtId="1" fontId="49" fillId="0" borderId="63" xfId="60" applyNumberFormat="1" applyFont="1" applyBorder="1" applyAlignment="1">
      <alignment horizontal="right"/>
      <protection/>
    </xf>
    <xf numFmtId="0" fontId="49" fillId="0" borderId="63" xfId="60" applyFont="1" applyBorder="1" applyAlignment="1">
      <alignment horizontal="right"/>
      <protection/>
    </xf>
    <xf numFmtId="0" fontId="62" fillId="0" borderId="80" xfId="60" applyFont="1" applyBorder="1" applyAlignment="1">
      <alignment horizontal="left" vertical="center" indent="1"/>
      <protection/>
    </xf>
    <xf numFmtId="0" fontId="56" fillId="0" borderId="80" xfId="60" applyFont="1" applyBorder="1" applyAlignment="1">
      <alignment horizontal="left" vertical="center" indent="1"/>
      <protection/>
    </xf>
    <xf numFmtId="0" fontId="56" fillId="0" borderId="81" xfId="60" applyFont="1" applyBorder="1" applyAlignment="1">
      <alignment horizontal="left" vertical="center" indent="1"/>
      <protection/>
    </xf>
    <xf numFmtId="3" fontId="49" fillId="0" borderId="87" xfId="60" applyNumberFormat="1" applyFont="1" applyBorder="1" applyAlignment="1">
      <alignment horizontal="left"/>
      <protection/>
    </xf>
    <xf numFmtId="3" fontId="49" fillId="0" borderId="74" xfId="60" applyNumberFormat="1" applyFont="1" applyBorder="1" applyAlignment="1">
      <alignment horizontal="left"/>
      <protection/>
    </xf>
    <xf numFmtId="1" fontId="49" fillId="0" borderId="153" xfId="60" applyNumberFormat="1" applyFont="1" applyBorder="1" applyAlignment="1">
      <alignment horizontal="left" indent="3"/>
      <protection/>
    </xf>
    <xf numFmtId="1" fontId="49" fillId="0" borderId="75" xfId="60" applyNumberFormat="1" applyFont="1" applyBorder="1" applyAlignment="1">
      <alignment horizontal="left" indent="3"/>
      <protection/>
    </xf>
    <xf numFmtId="1" fontId="45" fillId="0" borderId="80" xfId="60" applyNumberFormat="1" applyFont="1" applyBorder="1" applyAlignment="1">
      <alignment horizontal="left" indent="1"/>
      <protection/>
    </xf>
    <xf numFmtId="0" fontId="49" fillId="0" borderId="80" xfId="60" applyBorder="1" applyAlignment="1">
      <alignment horizontal="left" indent="1"/>
      <protection/>
    </xf>
    <xf numFmtId="0" fontId="45" fillId="0" borderId="82" xfId="60" applyFont="1" applyBorder="1" applyAlignment="1">
      <alignment horizontal="left" vertical="center" indent="1"/>
      <protection/>
    </xf>
    <xf numFmtId="0" fontId="45" fillId="0" borderId="82" xfId="60" applyFont="1" applyBorder="1" applyAlignment="1">
      <alignment vertical="center"/>
      <protection/>
    </xf>
    <xf numFmtId="0" fontId="49" fillId="0" borderId="68" xfId="60" applyFont="1" applyBorder="1" applyAlignment="1">
      <alignment horizontal="right" vertical="top"/>
      <protection/>
    </xf>
    <xf numFmtId="0" fontId="49" fillId="0" borderId="69" xfId="60" applyFont="1" applyBorder="1" applyAlignment="1">
      <alignment horizontal="right" vertical="top"/>
      <protection/>
    </xf>
    <xf numFmtId="0" fontId="62" fillId="0" borderId="163" xfId="60" applyFont="1" applyBorder="1" applyAlignment="1">
      <alignment horizontal="left" vertical="center" indent="1"/>
      <protection/>
    </xf>
    <xf numFmtId="0" fontId="56" fillId="0" borderId="164" xfId="60" applyFont="1" applyBorder="1" applyAlignment="1">
      <alignment horizontal="left" vertical="center" indent="1"/>
      <protection/>
    </xf>
    <xf numFmtId="0" fontId="56" fillId="0" borderId="165" xfId="60" applyFont="1" applyBorder="1" applyAlignment="1">
      <alignment horizontal="left" vertical="center" indent="1"/>
      <protection/>
    </xf>
    <xf numFmtId="3" fontId="49" fillId="0" borderId="57" xfId="60" applyNumberFormat="1" applyFont="1" applyBorder="1" applyAlignment="1">
      <alignment horizontal="left"/>
      <protection/>
    </xf>
    <xf numFmtId="3" fontId="49" fillId="0" borderId="62" xfId="60" applyNumberFormat="1" applyFont="1" applyBorder="1" applyAlignment="1">
      <alignment horizontal="left"/>
      <protection/>
    </xf>
    <xf numFmtId="0" fontId="45" fillId="22" borderId="61" xfId="60" applyFont="1" applyFill="1" applyBorder="1" applyAlignment="1">
      <alignment horizontal="center" vertical="center"/>
      <protection/>
    </xf>
    <xf numFmtId="0" fontId="53" fillId="0" borderId="78" xfId="60" applyFont="1" applyBorder="1" applyAlignment="1">
      <alignment horizontal="left" indent="11"/>
      <protection/>
    </xf>
    <xf numFmtId="0" fontId="52" fillId="0" borderId="63" xfId="60" applyFont="1" applyBorder="1" applyAlignment="1">
      <alignment horizontal="left" indent="1"/>
      <protection/>
    </xf>
    <xf numFmtId="0" fontId="52" fillId="0" borderId="63" xfId="60" applyFont="1" applyBorder="1" applyAlignment="1">
      <alignment/>
      <protection/>
    </xf>
    <xf numFmtId="0" fontId="49" fillId="0" borderId="151" xfId="60" applyBorder="1" applyAlignment="1">
      <alignment horizontal="left" indent="1"/>
      <protection/>
    </xf>
    <xf numFmtId="0" fontId="49" fillId="0" borderId="83" xfId="60" applyFont="1" applyBorder="1" applyAlignment="1">
      <alignment horizontal="left" indent="1"/>
      <protection/>
    </xf>
    <xf numFmtId="0" fontId="49" fillId="0" borderId="84" xfId="60" applyFont="1" applyBorder="1" applyAlignment="1">
      <alignment horizontal="left"/>
      <protection/>
    </xf>
    <xf numFmtId="0" fontId="49" fillId="0" borderId="85" xfId="60" applyFont="1" applyBorder="1" applyAlignment="1">
      <alignment horizontal="left"/>
      <protection/>
    </xf>
    <xf numFmtId="0" fontId="45" fillId="22" borderId="158" xfId="60" applyFont="1" applyFill="1" applyBorder="1" applyAlignment="1">
      <alignment horizontal="center" vertical="center"/>
      <protection/>
    </xf>
    <xf numFmtId="0" fontId="45" fillId="22" borderId="67" xfId="60" applyFont="1" applyFill="1" applyBorder="1" applyAlignment="1">
      <alignment horizontal="center" vertical="center"/>
      <protection/>
    </xf>
    <xf numFmtId="0" fontId="45" fillId="22" borderId="159" xfId="60" applyFont="1" applyFill="1" applyBorder="1" applyAlignment="1">
      <alignment horizontal="center" vertical="center"/>
      <protection/>
    </xf>
    <xf numFmtId="0" fontId="51" fillId="0" borderId="67" xfId="60" applyFont="1" applyBorder="1" applyAlignment="1">
      <alignment horizontal="center"/>
      <protection/>
    </xf>
    <xf numFmtId="0" fontId="49" fillId="0" borderId="59" xfId="60" applyFont="1" applyBorder="1" applyAlignment="1">
      <alignment horizontal="left" indent="1"/>
      <protection/>
    </xf>
    <xf numFmtId="0" fontId="49" fillId="0" borderId="59" xfId="60" applyBorder="1" applyAlignment="1">
      <alignment/>
      <protection/>
    </xf>
    <xf numFmtId="3" fontId="45" fillId="0" borderId="58" xfId="60" applyNumberFormat="1" applyFont="1" applyBorder="1" applyAlignment="1">
      <alignment horizontal="right"/>
      <protection/>
    </xf>
    <xf numFmtId="1" fontId="49" fillId="0" borderId="63" xfId="60" applyNumberFormat="1" applyFont="1" applyBorder="1" applyAlignment="1">
      <alignment horizontal="left" indent="3"/>
      <protection/>
    </xf>
    <xf numFmtId="0" fontId="49" fillId="0" borderId="63" xfId="60" applyFont="1" applyBorder="1" applyAlignment="1">
      <alignment horizontal="left" indent="3"/>
      <protection/>
    </xf>
    <xf numFmtId="0" fontId="47" fillId="7" borderId="56" xfId="60" applyFont="1" applyFill="1" applyBorder="1" applyAlignment="1">
      <alignment horizontal="center" vertical="center"/>
      <protection/>
    </xf>
    <xf numFmtId="0" fontId="47" fillId="7" borderId="59" xfId="60" applyFont="1" applyFill="1" applyBorder="1" applyAlignment="1">
      <alignment horizontal="center" vertical="center"/>
      <protection/>
    </xf>
    <xf numFmtId="0" fontId="47" fillId="7" borderId="57" xfId="60" applyFont="1" applyFill="1" applyBorder="1" applyAlignment="1">
      <alignment horizontal="center" vertical="center"/>
      <protection/>
    </xf>
    <xf numFmtId="0" fontId="45" fillId="0" borderId="61" xfId="60" applyFont="1" applyBorder="1" applyAlignment="1">
      <alignment horizontal="left" vertical="center" indent="1"/>
      <protection/>
    </xf>
    <xf numFmtId="0" fontId="49" fillId="0" borderId="61" xfId="60" applyBorder="1" applyAlignment="1">
      <alignment horizontal="left" vertical="center" indent="1"/>
      <protection/>
    </xf>
    <xf numFmtId="0" fontId="49" fillId="0" borderId="108" xfId="60" applyBorder="1" applyAlignment="1">
      <alignment/>
      <protection/>
    </xf>
    <xf numFmtId="14" fontId="48" fillId="0" borderId="7" xfId="60" applyNumberFormat="1" applyFont="1" applyBorder="1" applyAlignment="1">
      <alignment horizontal="center"/>
      <protection/>
    </xf>
    <xf numFmtId="0" fontId="49" fillId="0" borderId="7" xfId="60" applyFont="1" applyBorder="1" applyAlignment="1">
      <alignment horizontal="center"/>
      <protection/>
    </xf>
    <xf numFmtId="3" fontId="54" fillId="0" borderId="166" xfId="60" applyNumberFormat="1" applyFont="1" applyBorder="1" applyAlignment="1">
      <alignment horizontal="left" indent="1"/>
      <protection/>
    </xf>
    <xf numFmtId="0" fontId="49" fillId="0" borderId="167" xfId="60" applyFont="1" applyBorder="1" applyAlignment="1">
      <alignment horizontal="left" indent="1"/>
      <protection/>
    </xf>
    <xf numFmtId="0" fontId="49" fillId="0" borderId="168" xfId="60" applyFont="1" applyBorder="1" applyAlignment="1">
      <alignment horizontal="left" indent="1"/>
      <protection/>
    </xf>
    <xf numFmtId="14" fontId="59" fillId="0" borderId="7" xfId="60" applyNumberFormat="1" applyFont="1" applyBorder="1" applyAlignment="1">
      <alignment horizontal="center"/>
      <protection/>
    </xf>
    <xf numFmtId="0" fontId="75" fillId="0" borderId="7" xfId="60" applyFont="1" applyBorder="1" applyAlignment="1">
      <alignment horizontal="center"/>
      <protection/>
    </xf>
    <xf numFmtId="3" fontId="59" fillId="0" borderId="7" xfId="60" applyNumberFormat="1" applyFont="1" applyBorder="1" applyAlignment="1">
      <alignment horizontal="left" indent="1"/>
      <protection/>
    </xf>
    <xf numFmtId="0" fontId="55" fillId="0" borderId="101" xfId="60" applyFont="1" applyBorder="1" applyAlignment="1">
      <alignment horizontal="center" vertical="center" wrapText="1"/>
      <protection/>
    </xf>
    <xf numFmtId="0" fontId="55" fillId="0" borderId="106" xfId="60" applyFont="1" applyBorder="1" applyAlignment="1">
      <alignment horizontal="center"/>
      <protection/>
    </xf>
    <xf numFmtId="0" fontId="57" fillId="0" borderId="169" xfId="60" applyFont="1" applyBorder="1" applyAlignment="1">
      <alignment horizontal="center"/>
      <protection/>
    </xf>
    <xf numFmtId="14" fontId="48" fillId="0" borderId="101" xfId="60" applyNumberFormat="1" applyFont="1" applyBorder="1" applyAlignment="1">
      <alignment horizontal="center"/>
      <protection/>
    </xf>
    <xf numFmtId="0" fontId="49" fillId="0" borderId="101" xfId="60" applyBorder="1" applyAlignment="1">
      <alignment horizontal="center"/>
      <protection/>
    </xf>
    <xf numFmtId="0" fontId="49" fillId="0" borderId="7" xfId="60" applyBorder="1" applyAlignment="1">
      <alignment horizontal="center"/>
      <protection/>
    </xf>
    <xf numFmtId="3" fontId="54" fillId="0" borderId="7" xfId="60" applyNumberFormat="1" applyFont="1" applyBorder="1" applyAlignment="1">
      <alignment horizontal="left" indent="1"/>
      <protection/>
    </xf>
    <xf numFmtId="3" fontId="54" fillId="0" borderId="101" xfId="60" applyNumberFormat="1" applyFont="1" applyBorder="1" applyAlignment="1">
      <alignment horizontal="left" indent="1"/>
      <protection/>
    </xf>
    <xf numFmtId="0" fontId="45" fillId="0" borderId="101" xfId="60" applyFont="1" applyBorder="1" applyAlignment="1">
      <alignment horizontal="center" vertical="center"/>
      <protection/>
    </xf>
    <xf numFmtId="0" fontId="49" fillId="0" borderId="101" xfId="60" applyBorder="1" applyAlignment="1">
      <alignment horizontal="center" vertical="center"/>
      <protection/>
    </xf>
    <xf numFmtId="0" fontId="49" fillId="0" borderId="106" xfId="60" applyBorder="1" applyAlignment="1">
      <alignment horizontal="center" vertical="center"/>
      <protection/>
    </xf>
    <xf numFmtId="0" fontId="55" fillId="0" borderId="170" xfId="60" applyFont="1" applyBorder="1" applyAlignment="1">
      <alignment horizontal="center" vertical="center" wrapText="1"/>
      <protection/>
    </xf>
    <xf numFmtId="0" fontId="55" fillId="0" borderId="109" xfId="60" applyFont="1" applyBorder="1" applyAlignment="1">
      <alignment horizontal="center" vertical="center" wrapText="1"/>
      <protection/>
    </xf>
    <xf numFmtId="0" fontId="45" fillId="0" borderId="101" xfId="60" applyFont="1" applyBorder="1" applyAlignment="1">
      <alignment horizontal="center" vertical="center" wrapText="1"/>
      <protection/>
    </xf>
    <xf numFmtId="0" fontId="49" fillId="0" borderId="101" xfId="60" applyFont="1" applyBorder="1" applyAlignment="1">
      <alignment horizontal="center" vertical="center" wrapText="1"/>
      <protection/>
    </xf>
    <xf numFmtId="0" fontId="45" fillId="0" borderId="101" xfId="60" applyFont="1" applyBorder="1" applyAlignment="1">
      <alignment horizontal="center" vertical="center" wrapText="1"/>
      <protection/>
    </xf>
    <xf numFmtId="0" fontId="49" fillId="0" borderId="106" xfId="60" applyBorder="1" applyAlignment="1">
      <alignment horizontal="center"/>
      <protection/>
    </xf>
    <xf numFmtId="0" fontId="45" fillId="0" borderId="101" xfId="60" applyFont="1" applyBorder="1" applyAlignment="1">
      <alignment horizontal="center"/>
      <protection/>
    </xf>
    <xf numFmtId="3" fontId="46" fillId="0" borderId="106" xfId="60" applyNumberFormat="1" applyFont="1" applyBorder="1" applyAlignment="1">
      <alignment vertical="center"/>
      <protection/>
    </xf>
    <xf numFmtId="0" fontId="45" fillId="0" borderId="106" xfId="60" applyFont="1" applyBorder="1" applyAlignment="1">
      <alignment vertical="center"/>
      <protection/>
    </xf>
    <xf numFmtId="0" fontId="45" fillId="0" borderId="101" xfId="60" applyFont="1" applyBorder="1" applyAlignment="1">
      <alignment horizontal="center" wrapText="1"/>
      <protection/>
    </xf>
    <xf numFmtId="0" fontId="46" fillId="0" borderId="102" xfId="60" applyFont="1" applyBorder="1" applyAlignment="1">
      <alignment horizontal="center" vertical="center" wrapText="1"/>
      <protection/>
    </xf>
    <xf numFmtId="0" fontId="46" fillId="0" borderId="107" xfId="60" applyFont="1" applyBorder="1" applyAlignment="1">
      <alignment horizontal="center" vertical="center" wrapText="1"/>
      <protection/>
    </xf>
    <xf numFmtId="0" fontId="55" fillId="0" borderId="171" xfId="60" applyFont="1" applyBorder="1" applyAlignment="1">
      <alignment horizontal="center" vertical="center"/>
      <protection/>
    </xf>
    <xf numFmtId="0" fontId="55" fillId="0" borderId="172" xfId="60" applyFont="1" applyBorder="1" applyAlignment="1">
      <alignment horizontal="center" vertical="center"/>
      <protection/>
    </xf>
    <xf numFmtId="0" fontId="49" fillId="0" borderId="169" xfId="60" applyFont="1" applyBorder="1" applyAlignment="1">
      <alignment horizontal="center"/>
      <protection/>
    </xf>
    <xf numFmtId="0" fontId="49" fillId="0" borderId="173" xfId="60" applyBorder="1" applyAlignment="1">
      <alignment/>
      <protection/>
    </xf>
    <xf numFmtId="0" fontId="49" fillId="0" borderId="174" xfId="60" applyBorder="1" applyAlignment="1">
      <alignment/>
      <protection/>
    </xf>
    <xf numFmtId="0" fontId="49" fillId="0" borderId="175" xfId="60" applyBorder="1" applyAlignment="1">
      <alignment/>
      <protection/>
    </xf>
    <xf numFmtId="0" fontId="49" fillId="0" borderId="176" xfId="60" applyFont="1" applyBorder="1" applyAlignment="1">
      <alignment horizontal="left" vertical="center" indent="3"/>
      <protection/>
    </xf>
    <xf numFmtId="0" fontId="49" fillId="0" borderId="167" xfId="60" applyBorder="1" applyAlignment="1">
      <alignment horizontal="left" indent="3"/>
      <protection/>
    </xf>
    <xf numFmtId="0" fontId="49" fillId="0" borderId="177" xfId="60" applyBorder="1" applyAlignment="1">
      <alignment horizontal="left" indent="3"/>
      <protection/>
    </xf>
    <xf numFmtId="0" fontId="49" fillId="0" borderId="178" xfId="60" applyFont="1" applyBorder="1" applyAlignment="1">
      <alignment horizontal="left" vertical="center" indent="3"/>
      <protection/>
    </xf>
    <xf numFmtId="0" fontId="49" fillId="0" borderId="179" xfId="60" applyBorder="1" applyAlignment="1">
      <alignment horizontal="left" indent="3"/>
      <protection/>
    </xf>
    <xf numFmtId="0" fontId="49" fillId="0" borderId="180" xfId="60" applyBorder="1" applyAlignment="1">
      <alignment horizontal="left" indent="3"/>
      <protection/>
    </xf>
    <xf numFmtId="0" fontId="45" fillId="0" borderId="170" xfId="60" applyFont="1" applyBorder="1" applyAlignment="1">
      <alignment horizontal="center" vertical="center" wrapText="1"/>
      <protection/>
    </xf>
    <xf numFmtId="0" fontId="49" fillId="0" borderId="170" xfId="60" applyFont="1" applyBorder="1" applyAlignment="1">
      <alignment horizontal="center" vertical="center" wrapText="1"/>
      <protection/>
    </xf>
    <xf numFmtId="3" fontId="48" fillId="0" borderId="98" xfId="60" applyNumberFormat="1" applyFont="1" applyBorder="1" applyAlignment="1">
      <alignment/>
      <protection/>
    </xf>
    <xf numFmtId="0" fontId="45" fillId="0" borderId="181" xfId="60" applyFont="1" applyBorder="1" applyAlignment="1">
      <alignment horizontal="center" vertical="center" wrapText="1"/>
      <protection/>
    </xf>
    <xf numFmtId="0" fontId="45" fillId="0" borderId="179" xfId="60" applyFont="1" applyBorder="1" applyAlignment="1">
      <alignment horizontal="center" vertical="center" wrapText="1"/>
      <protection/>
    </xf>
    <xf numFmtId="0" fontId="45" fillId="0" borderId="182" xfId="60" applyFont="1" applyBorder="1" applyAlignment="1">
      <alignment horizontal="center" vertical="center" wrapText="1"/>
      <protection/>
    </xf>
    <xf numFmtId="3" fontId="54" fillId="0" borderId="166" xfId="60" applyNumberFormat="1" applyFont="1" applyBorder="1" applyAlignment="1">
      <alignment horizontal="left" vertical="center"/>
      <protection/>
    </xf>
    <xf numFmtId="3" fontId="54" fillId="0" borderId="167" xfId="60" applyNumberFormat="1" applyFont="1" applyBorder="1" applyAlignment="1">
      <alignment horizontal="left" vertical="center"/>
      <protection/>
    </xf>
    <xf numFmtId="3" fontId="54" fillId="0" borderId="168" xfId="60" applyNumberFormat="1" applyFont="1" applyBorder="1" applyAlignment="1">
      <alignment horizontal="left" vertical="center"/>
      <protection/>
    </xf>
    <xf numFmtId="0" fontId="46" fillId="0" borderId="173" xfId="60" applyFont="1" applyBorder="1" applyAlignment="1">
      <alignment vertical="center"/>
      <protection/>
    </xf>
    <xf numFmtId="0" fontId="45" fillId="0" borderId="174" xfId="60" applyFont="1" applyBorder="1" applyAlignment="1">
      <alignment/>
      <protection/>
    </xf>
    <xf numFmtId="0" fontId="45" fillId="0" borderId="183" xfId="60" applyFont="1" applyBorder="1" applyAlignment="1">
      <alignment/>
      <protection/>
    </xf>
    <xf numFmtId="0" fontId="49" fillId="0" borderId="184" xfId="60" applyFont="1" applyBorder="1" applyAlignment="1">
      <alignment horizontal="left" vertical="center" indent="3"/>
      <protection/>
    </xf>
    <xf numFmtId="0" fontId="49" fillId="0" borderId="185" xfId="60" applyBorder="1" applyAlignment="1">
      <alignment horizontal="left" indent="3"/>
      <protection/>
    </xf>
    <xf numFmtId="0" fontId="49" fillId="0" borderId="186" xfId="60" applyBorder="1" applyAlignment="1">
      <alignment horizontal="left" indent="3"/>
      <protection/>
    </xf>
    <xf numFmtId="0" fontId="49" fillId="0" borderId="97" xfId="60" applyFont="1" applyBorder="1" applyAlignment="1">
      <alignment horizontal="left" vertical="center" indent="3"/>
      <protection/>
    </xf>
    <xf numFmtId="0" fontId="49" fillId="0" borderId="98" xfId="60" applyBorder="1" applyAlignment="1">
      <alignment horizontal="left" indent="3"/>
      <protection/>
    </xf>
    <xf numFmtId="0" fontId="49" fillId="0" borderId="99" xfId="60" applyBorder="1" applyAlignment="1">
      <alignment horizontal="left" indent="3"/>
      <protection/>
    </xf>
    <xf numFmtId="3" fontId="46" fillId="0" borderId="98" xfId="60" applyNumberFormat="1" applyFont="1" applyBorder="1" applyAlignment="1">
      <alignment vertical="center"/>
      <protection/>
    </xf>
    <xf numFmtId="0" fontId="45" fillId="0" borderId="98" xfId="60" applyFont="1" applyBorder="1" applyAlignment="1">
      <alignment vertical="center"/>
      <protection/>
    </xf>
    <xf numFmtId="0" fontId="63" fillId="0" borderId="101" xfId="60" applyFont="1" applyBorder="1" applyAlignment="1">
      <alignment horizontal="center" vertical="center" wrapText="1"/>
      <protection/>
    </xf>
    <xf numFmtId="0" fontId="63" fillId="0" borderId="106" xfId="60" applyFont="1" applyBorder="1" applyAlignment="1">
      <alignment horizontal="center"/>
      <protection/>
    </xf>
    <xf numFmtId="0" fontId="49" fillId="0" borderId="109" xfId="60" applyBorder="1" applyAlignment="1">
      <alignment horizontal="center"/>
      <protection/>
    </xf>
    <xf numFmtId="0" fontId="48" fillId="0" borderId="166" xfId="60" applyFont="1" applyBorder="1" applyAlignment="1">
      <alignment horizontal="center" vertical="center"/>
      <protection/>
    </xf>
    <xf numFmtId="0" fontId="48" fillId="0" borderId="168" xfId="60" applyFont="1" applyBorder="1" applyAlignment="1">
      <alignment horizontal="center" vertical="center"/>
      <protection/>
    </xf>
    <xf numFmtId="0" fontId="45" fillId="0" borderId="187" xfId="60" applyFont="1" applyBorder="1" applyAlignment="1">
      <alignment horizontal="center" vertical="center"/>
      <protection/>
    </xf>
    <xf numFmtId="0" fontId="45" fillId="0" borderId="108" xfId="60" applyFont="1" applyBorder="1" applyAlignment="1">
      <alignment horizontal="center" vertical="center"/>
      <protection/>
    </xf>
    <xf numFmtId="0" fontId="49" fillId="0" borderId="108" xfId="60" applyBorder="1" applyAlignment="1">
      <alignment horizontal="center" vertical="center"/>
      <protection/>
    </xf>
    <xf numFmtId="0" fontId="49" fillId="0" borderId="188" xfId="60" applyBorder="1" applyAlignment="1">
      <alignment horizontal="center" vertical="center"/>
      <protection/>
    </xf>
    <xf numFmtId="0" fontId="49" fillId="0" borderId="189" xfId="60" applyBorder="1" applyAlignment="1">
      <alignment horizontal="center" vertical="center"/>
      <protection/>
    </xf>
    <xf numFmtId="0" fontId="49" fillId="0" borderId="169" xfId="60" applyBorder="1" applyAlignment="1">
      <alignment horizontal="center" vertical="center"/>
      <protection/>
    </xf>
    <xf numFmtId="0" fontId="49" fillId="0" borderId="190" xfId="60" applyBorder="1" applyAlignment="1">
      <alignment horizontal="center" vertical="center"/>
      <protection/>
    </xf>
    <xf numFmtId="0" fontId="55" fillId="0" borderId="100" xfId="60" applyFont="1" applyBorder="1" applyAlignment="1">
      <alignment horizontal="center" vertical="center"/>
      <protection/>
    </xf>
    <xf numFmtId="0" fontId="55" fillId="0" borderId="105" xfId="60" applyFont="1" applyBorder="1" applyAlignment="1">
      <alignment horizontal="center" vertical="center"/>
      <protection/>
    </xf>
    <xf numFmtId="3" fontId="54" fillId="0" borderId="189" xfId="60" applyNumberFormat="1" applyFont="1" applyBorder="1" applyAlignment="1">
      <alignment horizontal="left" vertical="center"/>
      <protection/>
    </xf>
    <xf numFmtId="3" fontId="54" fillId="0" borderId="169" xfId="60" applyNumberFormat="1" applyFont="1" applyBorder="1" applyAlignment="1">
      <alignment horizontal="left" vertical="center"/>
      <protection/>
    </xf>
    <xf numFmtId="3" fontId="54" fillId="0" borderId="190" xfId="60" applyNumberFormat="1" applyFont="1" applyBorder="1" applyAlignment="1">
      <alignment horizontal="left" vertical="center"/>
      <protection/>
    </xf>
    <xf numFmtId="0" fontId="46" fillId="0" borderId="97" xfId="60" applyFont="1" applyBorder="1" applyAlignment="1">
      <alignment vertical="center"/>
      <protection/>
    </xf>
    <xf numFmtId="0" fontId="45" fillId="0" borderId="98" xfId="60" applyFont="1" applyBorder="1" applyAlignment="1">
      <alignment/>
      <protection/>
    </xf>
    <xf numFmtId="3" fontId="54" fillId="0" borderId="0" xfId="60" applyNumberFormat="1" applyFont="1" applyBorder="1" applyAlignment="1">
      <alignment horizontal="right"/>
      <protection/>
    </xf>
    <xf numFmtId="0" fontId="49" fillId="0" borderId="0" xfId="60" applyBorder="1" applyAlignment="1">
      <alignment horizontal="right"/>
      <protection/>
    </xf>
    <xf numFmtId="0" fontId="48" fillId="0" borderId="0" xfId="60" applyFont="1" applyAlignment="1">
      <alignment/>
      <protection/>
    </xf>
    <xf numFmtId="0" fontId="49" fillId="0" borderId="0" xfId="60" applyAlignment="1">
      <alignment/>
      <protection/>
    </xf>
    <xf numFmtId="3" fontId="54" fillId="0" borderId="7" xfId="60" applyNumberFormat="1" applyFont="1" applyBorder="1" applyAlignment="1">
      <alignment horizontal="left" vertical="center"/>
      <protection/>
    </xf>
    <xf numFmtId="0" fontId="49" fillId="0" borderId="0" xfId="60" applyFont="1" applyAlignment="1">
      <alignment horizontal="left" vertical="center" wrapText="1" indent="1"/>
      <protection/>
    </xf>
    <xf numFmtId="0" fontId="49" fillId="0" borderId="0" xfId="60" applyAlignment="1">
      <alignment horizontal="left" vertical="center" wrapText="1" indent="1"/>
      <protection/>
    </xf>
    <xf numFmtId="0" fontId="45" fillId="0" borderId="169" xfId="60" applyFont="1" applyBorder="1" applyAlignment="1">
      <alignment horizontal="center"/>
      <protection/>
    </xf>
    <xf numFmtId="0" fontId="45" fillId="0" borderId="97" xfId="60" applyFont="1" applyBorder="1" applyAlignment="1">
      <alignment horizontal="left" vertical="center" indent="3"/>
      <protection/>
    </xf>
    <xf numFmtId="0" fontId="45" fillId="0" borderId="98" xfId="60" applyFont="1" applyBorder="1" applyAlignment="1">
      <alignment horizontal="left" indent="3"/>
      <protection/>
    </xf>
    <xf numFmtId="0" fontId="45" fillId="0" borderId="99" xfId="60" applyFont="1" applyBorder="1" applyAlignment="1">
      <alignment horizontal="left" indent="3"/>
      <protection/>
    </xf>
    <xf numFmtId="0" fontId="50" fillId="0" borderId="0" xfId="60" applyFont="1" applyAlignment="1">
      <alignment horizontal="center" vertical="center"/>
      <protection/>
    </xf>
    <xf numFmtId="0" fontId="45" fillId="0" borderId="174" xfId="60" applyFont="1" applyBorder="1" applyAlignment="1">
      <alignment horizontal="center"/>
      <protection/>
    </xf>
    <xf numFmtId="0" fontId="46" fillId="0" borderId="105" xfId="60" applyFont="1" applyBorder="1" applyAlignment="1">
      <alignment vertical="center"/>
      <protection/>
    </xf>
    <xf numFmtId="0" fontId="45" fillId="0" borderId="106" xfId="60" applyFont="1" applyBorder="1" applyAlignment="1">
      <alignment/>
      <protection/>
    </xf>
    <xf numFmtId="0" fontId="48" fillId="0" borderId="189" xfId="60" applyFont="1" applyBorder="1" applyAlignment="1">
      <alignment horizontal="center" vertical="center"/>
      <protection/>
    </xf>
    <xf numFmtId="0" fontId="48" fillId="0" borderId="190" xfId="60" applyFont="1" applyBorder="1" applyAlignment="1">
      <alignment horizontal="center" vertical="center"/>
      <protection/>
    </xf>
    <xf numFmtId="3" fontId="46" fillId="0" borderId="106" xfId="60" applyNumberFormat="1" applyFont="1" applyBorder="1" applyAlignment="1">
      <alignment/>
      <protection/>
    </xf>
    <xf numFmtId="3" fontId="54" fillId="0" borderId="7" xfId="60" applyNumberFormat="1" applyFont="1" applyBorder="1" applyAlignment="1">
      <alignment horizontal="left" indent="1"/>
      <protection/>
    </xf>
    <xf numFmtId="0" fontId="49" fillId="0" borderId="0" xfId="60" applyFont="1" applyAlignment="1">
      <alignment horizontal="right" vertical="center"/>
      <protection/>
    </xf>
    <xf numFmtId="0" fontId="49" fillId="0" borderId="0" xfId="60" applyAlignment="1">
      <alignment horizontal="right"/>
      <protection/>
    </xf>
    <xf numFmtId="3" fontId="46" fillId="0" borderId="191" xfId="60" applyNumberFormat="1" applyFont="1" applyBorder="1" applyAlignment="1">
      <alignment vertical="center"/>
      <protection/>
    </xf>
    <xf numFmtId="0" fontId="49" fillId="0" borderId="183" xfId="60" applyBorder="1" applyAlignment="1">
      <alignment/>
      <protection/>
    </xf>
    <xf numFmtId="0" fontId="66" fillId="0" borderId="61" xfId="60" applyFont="1" applyBorder="1" applyAlignment="1">
      <alignment horizontal="left" vertical="center" wrapText="1" indent="1"/>
      <protection/>
    </xf>
    <xf numFmtId="0" fontId="67" fillId="0" borderId="158" xfId="60" applyFont="1" applyBorder="1" applyAlignment="1">
      <alignment horizontal="left" vertical="center" wrapText="1" indent="1"/>
      <protection/>
    </xf>
    <xf numFmtId="0" fontId="67" fillId="0" borderId="67" xfId="60" applyFont="1" applyBorder="1" applyAlignment="1">
      <alignment horizontal="left" vertical="center" wrapText="1" indent="1"/>
      <protection/>
    </xf>
    <xf numFmtId="0" fontId="67" fillId="0" borderId="159" xfId="60" applyFont="1" applyBorder="1" applyAlignment="1">
      <alignment horizontal="left" vertical="center" wrapText="1" indent="1"/>
      <protection/>
    </xf>
    <xf numFmtId="0" fontId="49" fillId="0" borderId="59" xfId="60" applyBorder="1" applyAlignment="1">
      <alignment horizontal="left" vertical="center" indent="1"/>
      <protection/>
    </xf>
    <xf numFmtId="0" fontId="45" fillId="0" borderId="0" xfId="60" applyFont="1" applyBorder="1" applyAlignment="1">
      <alignment horizontal="left" vertical="center" wrapText="1" indent="1"/>
      <protection/>
    </xf>
    <xf numFmtId="0" fontId="45" fillId="0" borderId="0" xfId="60" applyFont="1" applyBorder="1" applyAlignment="1">
      <alignment horizontal="left" vertical="center" indent="1"/>
      <protection/>
    </xf>
    <xf numFmtId="0" fontId="45" fillId="0" borderId="88" xfId="60" applyFont="1" applyBorder="1" applyAlignment="1">
      <alignment horizontal="center" vertical="center"/>
      <protection/>
    </xf>
    <xf numFmtId="0" fontId="45" fillId="0" borderId="86" xfId="60" applyFont="1" applyBorder="1" applyAlignment="1">
      <alignment horizontal="center" vertical="center"/>
      <protection/>
    </xf>
    <xf numFmtId="0" fontId="51" fillId="0" borderId="56" xfId="60" applyFont="1" applyBorder="1" applyAlignment="1">
      <alignment horizontal="center" vertical="center"/>
      <protection/>
    </xf>
    <xf numFmtId="0" fontId="45" fillId="0" borderId="64" xfId="60" applyFont="1" applyBorder="1" applyAlignment="1">
      <alignment horizontal="center" vertical="center"/>
      <protection/>
    </xf>
    <xf numFmtId="0" fontId="45" fillId="0" borderId="63" xfId="60" applyFont="1" applyBorder="1" applyAlignment="1">
      <alignment horizontal="center" vertical="center"/>
      <protection/>
    </xf>
    <xf numFmtId="0" fontId="45" fillId="0" borderId="60" xfId="60" applyFont="1" applyBorder="1" applyAlignment="1">
      <alignment horizontal="center" vertical="center"/>
      <protection/>
    </xf>
    <xf numFmtId="0" fontId="45" fillId="0" borderId="61" xfId="60" applyFont="1" applyBorder="1" applyAlignment="1">
      <alignment horizontal="center" vertical="center"/>
      <protection/>
    </xf>
    <xf numFmtId="0" fontId="53" fillId="0" borderId="79" xfId="60" applyFont="1" applyBorder="1" applyAlignment="1">
      <alignment horizontal="center" vertical="center"/>
      <protection/>
    </xf>
    <xf numFmtId="0" fontId="53" fillId="0" borderId="80" xfId="60" applyFont="1" applyBorder="1" applyAlignment="1">
      <alignment horizontal="center" vertical="center"/>
      <protection/>
    </xf>
    <xf numFmtId="0" fontId="49" fillId="0" borderId="59" xfId="60" applyFont="1" applyBorder="1" applyAlignment="1">
      <alignment horizontal="left" vertical="center" indent="1"/>
      <protection/>
    </xf>
    <xf numFmtId="0" fontId="49" fillId="0" borderId="63" xfId="60" applyFont="1" applyBorder="1" applyAlignment="1">
      <alignment horizontal="left" indent="1"/>
      <protection/>
    </xf>
    <xf numFmtId="0" fontId="66" fillId="0" borderId="80" xfId="60" applyFont="1" applyBorder="1" applyAlignment="1">
      <alignment horizontal="left" vertical="center" wrapText="1" indent="1"/>
      <protection/>
    </xf>
    <xf numFmtId="0" fontId="49" fillId="0" borderId="63" xfId="60" applyBorder="1" applyAlignment="1">
      <alignment horizontal="left" vertical="center" indent="1"/>
      <protection/>
    </xf>
    <xf numFmtId="0" fontId="49" fillId="0" borderId="59" xfId="60" applyFont="1" applyBorder="1" applyAlignment="1">
      <alignment horizontal="left" vertical="center" indent="1"/>
      <protection/>
    </xf>
    <xf numFmtId="0" fontId="62" fillId="0" borderId="80" xfId="60" applyFont="1" applyBorder="1" applyAlignment="1">
      <alignment horizontal="center" vertical="center"/>
      <protection/>
    </xf>
    <xf numFmtId="0" fontId="56" fillId="0" borderId="80" xfId="60" applyFont="1" applyBorder="1" applyAlignment="1">
      <alignment horizontal="center" vertical="center"/>
      <protection/>
    </xf>
    <xf numFmtId="0" fontId="49" fillId="0" borderId="56" xfId="60" applyBorder="1" applyAlignment="1">
      <alignment horizontal="left" vertical="center" indent="1"/>
      <protection/>
    </xf>
    <xf numFmtId="0" fontId="49" fillId="0" borderId="0" xfId="60" applyAlignment="1">
      <alignment horizontal="left" vertical="center" indent="1"/>
      <protection/>
    </xf>
    <xf numFmtId="0" fontId="49" fillId="0" borderId="80" xfId="60" applyFont="1" applyBorder="1" applyAlignment="1">
      <alignment horizontal="left" vertical="center" indent="1"/>
      <protection/>
    </xf>
    <xf numFmtId="0" fontId="73" fillId="0" borderId="0" xfId="60" applyFont="1" applyAlignment="1">
      <alignment horizontal="left" vertical="center" wrapText="1" indent="1"/>
      <protection/>
    </xf>
    <xf numFmtId="0" fontId="73" fillId="0" borderId="0" xfId="60" applyFont="1" applyAlignment="1">
      <alignment horizontal="left" vertical="center" indent="1"/>
      <protection/>
    </xf>
    <xf numFmtId="3" fontId="74" fillId="0" borderId="0" xfId="60" applyNumberFormat="1" applyFont="1" applyAlignment="1">
      <alignment horizontal="right" vertical="center"/>
      <protection/>
    </xf>
    <xf numFmtId="0" fontId="49" fillId="0" borderId="0" xfId="60" applyAlignment="1">
      <alignment horizontal="right" vertical="center"/>
      <protection/>
    </xf>
    <xf numFmtId="0" fontId="50" fillId="0" borderId="0" xfId="60" applyFont="1" applyBorder="1" applyAlignment="1">
      <alignment horizontal="center" vertical="top"/>
      <protection/>
    </xf>
    <xf numFmtId="0" fontId="45" fillId="0" borderId="0" xfId="60" applyFont="1" applyBorder="1" applyAlignment="1">
      <alignment horizontal="center" vertical="top"/>
      <protection/>
    </xf>
    <xf numFmtId="0" fontId="51" fillId="0" borderId="79" xfId="60" applyFont="1" applyBorder="1" applyAlignment="1">
      <alignment horizontal="center" vertical="center"/>
      <protection/>
    </xf>
    <xf numFmtId="0" fontId="62" fillId="0" borderId="61" xfId="60" applyFont="1" applyBorder="1" applyAlignment="1">
      <alignment horizontal="left" vertical="center" indent="1"/>
      <protection/>
    </xf>
    <xf numFmtId="3" fontId="49" fillId="0" borderId="0" xfId="60" applyNumberFormat="1" applyFont="1" applyAlignment="1">
      <alignment horizontal="center" vertical="center"/>
      <protection/>
    </xf>
    <xf numFmtId="0" fontId="49" fillId="0" borderId="0" xfId="60" applyAlignment="1">
      <alignment horizontal="center"/>
      <protection/>
    </xf>
    <xf numFmtId="0" fontId="49" fillId="0" borderId="0" xfId="60" applyAlignment="1">
      <alignment horizontal="left" wrapText="1" indent="1"/>
      <protection/>
    </xf>
    <xf numFmtId="0" fontId="49" fillId="0" borderId="0" xfId="60" applyFont="1" applyAlignment="1">
      <alignment horizontal="left" indent="1"/>
      <protection/>
    </xf>
    <xf numFmtId="1" fontId="49" fillId="0" borderId="79" xfId="60" applyNumberFormat="1" applyBorder="1" applyAlignment="1">
      <alignment horizontal="center" vertical="center" wrapText="1"/>
      <protection/>
    </xf>
    <xf numFmtId="0" fontId="49" fillId="0" borderId="80" xfId="60" applyBorder="1" applyAlignment="1">
      <alignment vertical="center"/>
      <protection/>
    </xf>
    <xf numFmtId="0" fontId="49" fillId="0" borderId="79" xfId="60" applyBorder="1" applyAlignment="1">
      <alignment horizontal="left" vertical="center" indent="1"/>
      <protection/>
    </xf>
    <xf numFmtId="0" fontId="49" fillId="0" borderId="80" xfId="60" applyBorder="1" applyAlignment="1">
      <alignment horizontal="left" vertical="center" indent="1"/>
      <protection/>
    </xf>
    <xf numFmtId="0" fontId="49" fillId="0" borderId="64" xfId="60" applyBorder="1" applyAlignment="1">
      <alignment horizontal="left" vertical="center" indent="1"/>
      <protection/>
    </xf>
    <xf numFmtId="0" fontId="49" fillId="0" borderId="60" xfId="60" applyBorder="1" applyAlignment="1">
      <alignment horizontal="left" vertical="center" indent="1"/>
      <protection/>
    </xf>
    <xf numFmtId="3" fontId="49" fillId="0" borderId="0" xfId="60" applyNumberFormat="1" applyFont="1" applyBorder="1" applyAlignment="1">
      <alignment horizontal="center" vertical="center"/>
      <protection/>
    </xf>
    <xf numFmtId="0" fontId="49" fillId="0" borderId="0" xfId="60" applyBorder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51" fillId="0" borderId="0" xfId="0" applyFont="1" applyAlignment="1">
      <alignment horizontal="center"/>
    </xf>
    <xf numFmtId="3" fontId="51" fillId="28" borderId="11" xfId="0" applyNumberFormat="1" applyFont="1" applyFill="1" applyBorder="1" applyAlignment="1">
      <alignment horizontal="center" vertical="center" wrapText="1"/>
    </xf>
    <xf numFmtId="3" fontId="51" fillId="28" borderId="15" xfId="0" applyNumberFormat="1" applyFont="1" applyFill="1" applyBorder="1" applyAlignment="1">
      <alignment horizontal="center" vertical="center" wrapText="1"/>
    </xf>
    <xf numFmtId="3" fontId="3" fillId="28" borderId="10" xfId="0" applyNumberFormat="1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5" fillId="28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19" xfId="0" applyFont="1" applyBorder="1" applyAlignment="1">
      <alignment horizontal="center" vertical="center"/>
    </xf>
    <xf numFmtId="3" fontId="30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2" fillId="0" borderId="18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1" fillId="0" borderId="14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3" fillId="0" borderId="0" xfId="0" applyFont="1" applyAlignment="1">
      <alignment horizontal="left" shrinkToFit="1"/>
    </xf>
    <xf numFmtId="0" fontId="5" fillId="0" borderId="12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3" fontId="45" fillId="4" borderId="11" xfId="0" applyNumberFormat="1" applyFont="1" applyFill="1" applyBorder="1" applyAlignment="1">
      <alignment horizontal="center" vertical="center" wrapText="1"/>
    </xf>
    <xf numFmtId="3" fontId="45" fillId="4" borderId="15" xfId="0" applyNumberFormat="1" applyFont="1" applyFill="1" applyBorder="1" applyAlignment="1">
      <alignment horizontal="center" vertical="center" wrapText="1"/>
    </xf>
    <xf numFmtId="3" fontId="45" fillId="4" borderId="11" xfId="0" applyNumberFormat="1" applyFon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50" fillId="0" borderId="20" xfId="0" applyFont="1" applyBorder="1" applyAlignment="1">
      <alignment horizontal="left" shrinkToFit="1"/>
    </xf>
    <xf numFmtId="0" fontId="12" fillId="27" borderId="16" xfId="0" applyFont="1" applyFill="1" applyBorder="1" applyAlignment="1">
      <alignment horizontal="right" vertical="center"/>
    </xf>
    <xf numFmtId="0" fontId="12" fillId="0" borderId="16" xfId="0" applyFont="1" applyBorder="1" applyAlignment="1">
      <alignment horizontal="right"/>
    </xf>
    <xf numFmtId="0" fontId="50" fillId="0" borderId="10" xfId="0" applyFont="1" applyBorder="1" applyAlignment="1">
      <alignment horizontal="left" shrinkToFit="1"/>
    </xf>
    <xf numFmtId="0" fontId="14" fillId="0" borderId="10" xfId="0" applyFont="1" applyBorder="1" applyAlignment="1">
      <alignment horizontal="left" shrinkToFit="1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20" xfId="0" applyFont="1" applyBorder="1" applyAlignment="1">
      <alignment horizontal="left" shrinkToFit="1"/>
    </xf>
    <xf numFmtId="0" fontId="14" fillId="0" borderId="13" xfId="0" applyFont="1" applyBorder="1" applyAlignment="1">
      <alignment shrinkToFit="1"/>
    </xf>
    <xf numFmtId="0" fontId="10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3" fontId="30" fillId="4" borderId="10" xfId="59" applyNumberFormat="1" applyFont="1" applyFill="1" applyBorder="1" applyAlignment="1">
      <alignment horizontal="center"/>
      <protection/>
    </xf>
    <xf numFmtId="3" fontId="1" fillId="4" borderId="10" xfId="59" applyNumberFormat="1" applyFont="1" applyFill="1" applyBorder="1" applyAlignment="1">
      <alignment horizontal="center" vertical="center"/>
      <protection/>
    </xf>
    <xf numFmtId="0" fontId="62" fillId="0" borderId="10" xfId="59" applyFont="1" applyBorder="1" applyAlignment="1">
      <alignment horizontal="center" vertical="center"/>
      <protection/>
    </xf>
    <xf numFmtId="0" fontId="62" fillId="0" borderId="18" xfId="59" applyFont="1" applyBorder="1" applyAlignment="1">
      <alignment horizontal="center" vertical="center"/>
      <protection/>
    </xf>
    <xf numFmtId="0" fontId="62" fillId="0" borderId="143" xfId="59" applyFont="1" applyBorder="1" applyAlignment="1">
      <alignment horizontal="center" vertical="center"/>
      <protection/>
    </xf>
    <xf numFmtId="0" fontId="62" fillId="0" borderId="17" xfId="59" applyFont="1" applyBorder="1" applyAlignment="1">
      <alignment horizontal="center" vertical="center"/>
      <protection/>
    </xf>
    <xf numFmtId="0" fontId="62" fillId="0" borderId="24" xfId="59" applyFont="1" applyBorder="1" applyAlignment="1">
      <alignment horizontal="center" vertical="center"/>
      <protection/>
    </xf>
    <xf numFmtId="0" fontId="62" fillId="0" borderId="19" xfId="59" applyFont="1" applyBorder="1" applyAlignment="1">
      <alignment horizontal="center" vertical="center"/>
      <protection/>
    </xf>
    <xf numFmtId="3" fontId="62" fillId="4" borderId="10" xfId="59" applyNumberFormat="1" applyFont="1" applyFill="1" applyBorder="1" applyAlignment="1">
      <alignment horizontal="center" vertical="center" wrapText="1"/>
      <protection/>
    </xf>
    <xf numFmtId="0" fontId="62" fillId="0" borderId="10" xfId="59" applyFont="1" applyBorder="1" applyAlignment="1">
      <alignment horizontal="center"/>
      <protection/>
    </xf>
    <xf numFmtId="3" fontId="70" fillId="0" borderId="0" xfId="59" applyNumberFormat="1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/>
      <protection/>
    </xf>
    <xf numFmtId="3" fontId="32" fillId="0" borderId="0" xfId="59" applyNumberFormat="1" applyFont="1" applyFill="1" applyBorder="1" applyAlignment="1">
      <alignment horizontal="right"/>
      <protection/>
    </xf>
    <xf numFmtId="0" fontId="32" fillId="0" borderId="0" xfId="59" applyFont="1" applyFill="1" applyBorder="1" applyAlignment="1">
      <alignment/>
      <protection/>
    </xf>
    <xf numFmtId="3" fontId="62" fillId="4" borderId="11" xfId="59" applyNumberFormat="1" applyFont="1" applyFill="1" applyBorder="1" applyAlignment="1">
      <alignment horizontal="center" vertical="center" wrapText="1"/>
      <protection/>
    </xf>
    <xf numFmtId="3" fontId="62" fillId="4" borderId="15" xfId="59" applyNumberFormat="1" applyFont="1" applyFill="1" applyBorder="1" applyAlignment="1">
      <alignment horizontal="center" vertical="center" wrapText="1"/>
      <protection/>
    </xf>
    <xf numFmtId="0" fontId="62" fillId="0" borderId="19" xfId="59" applyFont="1" applyBorder="1" applyAlignment="1">
      <alignment horizontal="center"/>
      <protection/>
    </xf>
    <xf numFmtId="0" fontId="62" fillId="0" borderId="37" xfId="59" applyFont="1" applyBorder="1" applyAlignment="1">
      <alignment horizontal="center"/>
      <protection/>
    </xf>
    <xf numFmtId="0" fontId="62" fillId="0" borderId="20" xfId="59" applyFont="1" applyBorder="1" applyAlignment="1">
      <alignment horizontal="left"/>
      <protection/>
    </xf>
    <xf numFmtId="0" fontId="1" fillId="0" borderId="21" xfId="59" applyFont="1" applyBorder="1" applyAlignment="1">
      <alignment horizontal="left"/>
      <protection/>
    </xf>
    <xf numFmtId="0" fontId="1" fillId="0" borderId="13" xfId="59" applyFont="1" applyBorder="1" applyAlignment="1">
      <alignment horizontal="left"/>
      <protection/>
    </xf>
    <xf numFmtId="0" fontId="30" fillId="0" borderId="0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62" fillId="0" borderId="0" xfId="59" applyFont="1" applyBorder="1" applyAlignment="1">
      <alignment horizontal="center"/>
      <protection/>
    </xf>
    <xf numFmtId="0" fontId="1" fillId="0" borderId="0" xfId="59" applyFont="1" applyBorder="1" applyAlignment="1">
      <alignment/>
      <protection/>
    </xf>
    <xf numFmtId="0" fontId="51" fillId="0" borderId="0" xfId="59" applyFont="1" applyBorder="1" applyAlignment="1">
      <alignment horizontal="center"/>
      <protection/>
    </xf>
    <xf numFmtId="0" fontId="83" fillId="0" borderId="0" xfId="59" applyFont="1" applyBorder="1" applyAlignment="1">
      <alignment/>
      <protection/>
    </xf>
    <xf numFmtId="0" fontId="83" fillId="0" borderId="0" xfId="59" applyFont="1" applyAlignment="1">
      <alignment/>
      <protection/>
    </xf>
    <xf numFmtId="0" fontId="1" fillId="0" borderId="0" xfId="59" applyAlignment="1">
      <alignment/>
      <protection/>
    </xf>
    <xf numFmtId="0" fontId="3" fillId="0" borderId="0" xfId="59" applyFont="1" applyBorder="1" applyAlignment="1">
      <alignment horizontal="center"/>
      <protection/>
    </xf>
    <xf numFmtId="0" fontId="83" fillId="0" borderId="0" xfId="59" applyFont="1" applyBorder="1" applyAlignment="1">
      <alignment horizontal="center"/>
      <protection/>
    </xf>
    <xf numFmtId="0" fontId="62" fillId="0" borderId="14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20" xfId="0" applyFont="1" applyFill="1" applyBorder="1" applyAlignment="1">
      <alignment horizontal="left"/>
    </xf>
    <xf numFmtId="0" fontId="30" fillId="0" borderId="21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0" fontId="6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" fontId="62" fillId="0" borderId="143" xfId="0" applyNumberFormat="1" applyFont="1" applyBorder="1" applyAlignment="1">
      <alignment horizontal="center" vertical="center" wrapText="1"/>
    </xf>
    <xf numFmtId="3" fontId="62" fillId="0" borderId="24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24" xfId="0" applyFont="1" applyFill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69" fillId="0" borderId="143" xfId="0" applyFont="1" applyFill="1" applyBorder="1" applyAlignment="1">
      <alignment horizontal="center"/>
    </xf>
    <xf numFmtId="0" fontId="80" fillId="0" borderId="1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62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0" fillId="0" borderId="10" xfId="0" applyFont="1" applyBorder="1" applyAlignment="1">
      <alignment/>
    </xf>
    <xf numFmtId="0" fontId="5" fillId="0" borderId="1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3" xfId="0" applyFont="1" applyBorder="1" applyAlignment="1">
      <alignment horizontal="left" vertical="center"/>
    </xf>
    <xf numFmtId="0" fontId="0" fillId="0" borderId="118" xfId="0" applyBorder="1" applyAlignment="1">
      <alignment horizontal="center" vertical="center"/>
    </xf>
    <xf numFmtId="0" fontId="0" fillId="0" borderId="114" xfId="0" applyFont="1" applyBorder="1" applyAlignment="1">
      <alignment horizontal="left" vertical="center"/>
    </xf>
    <xf numFmtId="0" fontId="0" fillId="0" borderId="115" xfId="0" applyFont="1" applyBorder="1" applyAlignment="1">
      <alignment horizontal="left" vertical="center"/>
    </xf>
    <xf numFmtId="0" fontId="0" fillId="0" borderId="114" xfId="0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18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/>
    </xf>
    <xf numFmtId="0" fontId="0" fillId="0" borderId="121" xfId="0" applyFont="1" applyBorder="1" applyAlignment="1">
      <alignment horizontal="left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192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54" xfId="56" applyFont="1" applyFill="1" applyBorder="1" applyAlignment="1">
      <alignment horizontal="center" vertical="center" wrapText="1"/>
      <protection/>
    </xf>
    <xf numFmtId="0" fontId="5" fillId="0" borderId="23" xfId="56" applyFont="1" applyFill="1" applyBorder="1" applyAlignment="1">
      <alignment horizontal="center" vertical="center" wrapText="1"/>
      <protection/>
    </xf>
    <xf numFmtId="0" fontId="5" fillId="0" borderId="54" xfId="56" applyFont="1" applyBorder="1" applyAlignment="1">
      <alignment horizontal="center" vertical="center" wrapText="1"/>
      <protection/>
    </xf>
    <xf numFmtId="0" fontId="5" fillId="0" borderId="23" xfId="56" applyFont="1" applyBorder="1" applyAlignment="1">
      <alignment horizontal="center" vertical="center" wrapText="1"/>
      <protection/>
    </xf>
    <xf numFmtId="0" fontId="5" fillId="0" borderId="193" xfId="56" applyFont="1" applyFill="1" applyBorder="1" applyAlignment="1">
      <alignment horizontal="center" vertical="center"/>
      <protection/>
    </xf>
    <xf numFmtId="0" fontId="5" fillId="0" borderId="194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 wrapText="1"/>
      <protection/>
    </xf>
    <xf numFmtId="0" fontId="12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122" fillId="0" borderId="0" xfId="0" applyFont="1" applyAlignment="1">
      <alignment horizontal="center" wrapText="1"/>
    </xf>
    <xf numFmtId="0" fontId="42" fillId="0" borderId="27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/>
    </xf>
    <xf numFmtId="0" fontId="42" fillId="0" borderId="19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2 2" xfId="57"/>
    <cellStyle name="Normál 2_közvetett támogatás_130318" xfId="58"/>
    <cellStyle name="Normál_Eötvös szakf. összesítés 2012. évi ktsgv." xfId="59"/>
    <cellStyle name="Normál_Költségvetés_2012" xfId="60"/>
    <cellStyle name="Normál_közvetett támogatás_130318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externalLink" Target="externalLinks/externalLink1.xml" /><Relationship Id="rId88" Type="http://schemas.openxmlformats.org/officeDocument/2006/relationships/externalLink" Target="externalLinks/externalLink2.xml" /><Relationship Id="rId8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Infláció követés és
</a:t>
            </a:r>
            <a:r>
              <a:rPr lang="en-US" cap="none" sz="11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Tényleges finanszírozás</a:t>
            </a:r>
          </a:p>
        </c:rich>
      </c:tx>
      <c:layout>
        <c:manualLayout>
          <c:xMode val="factor"/>
          <c:yMode val="factor"/>
          <c:x val="-0.096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7175"/>
          <c:w val="0.88875"/>
          <c:h val="0.72975"/>
        </c:manualLayout>
      </c:layout>
      <c:lineChart>
        <c:grouping val="standard"/>
        <c:varyColors val="0"/>
        <c:ser>
          <c:idx val="1"/>
          <c:order val="0"/>
          <c:tx>
            <c:v>Infláció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Elemi!$B$235:$B$242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Elemi!$C$235:$C$242</c:f>
              <c:numCache>
                <c:ptCount val="8"/>
                <c:pt idx="0">
                  <c:v>18016</c:v>
                </c:pt>
                <c:pt idx="1">
                  <c:v>18610.528</c:v>
                </c:pt>
                <c:pt idx="2">
                  <c:v>19801.601791999998</c:v>
                </c:pt>
                <c:pt idx="3">
                  <c:v>21187.713917439996</c:v>
                </c:pt>
                <c:pt idx="4">
                  <c:v>22882.731030835195</c:v>
                </c:pt>
                <c:pt idx="5">
                  <c:v>24003.98485134612</c:v>
                </c:pt>
                <c:pt idx="6">
                  <c:v>24844.124321143234</c:v>
                </c:pt>
                <c:pt idx="7">
                  <c:v>25813.04516966782</c:v>
                </c:pt>
              </c:numCache>
            </c:numRef>
          </c:val>
          <c:smooth val="0"/>
        </c:ser>
        <c:ser>
          <c:idx val="0"/>
          <c:order val="1"/>
          <c:tx>
            <c:v>Finanszírozás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Elemi!$B$235:$B$242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Elemi!$C$225:$C$232</c:f>
              <c:numCache>
                <c:ptCount val="8"/>
                <c:pt idx="0">
                  <c:v>18016</c:v>
                </c:pt>
                <c:pt idx="1">
                  <c:v>18103</c:v>
                </c:pt>
                <c:pt idx="2">
                  <c:v>18614</c:v>
                </c:pt>
                <c:pt idx="3">
                  <c:v>19836</c:v>
                </c:pt>
                <c:pt idx="4">
                  <c:v>18507</c:v>
                </c:pt>
                <c:pt idx="5">
                  <c:v>18794</c:v>
                </c:pt>
                <c:pt idx="6">
                  <c:v>20286</c:v>
                </c:pt>
                <c:pt idx="7">
                  <c:v>17099.904</c:v>
                </c:pt>
              </c:numCache>
            </c:numRef>
          </c:val>
          <c:smooth val="0"/>
        </c:ser>
        <c:marker val="1"/>
        <c:axId val="53464608"/>
        <c:axId val="11419425"/>
      </c:lineChart>
      <c:catAx>
        <c:axId val="53464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19425"/>
        <c:crosses val="autoZero"/>
        <c:auto val="1"/>
        <c:lblOffset val="100"/>
        <c:tickLblSkip val="1"/>
        <c:noMultiLvlLbl val="0"/>
      </c:catAx>
      <c:valAx>
        <c:axId val="11419425"/>
        <c:scaling>
          <c:orientation val="minMax"/>
          <c:max val="30000"/>
          <c:min val="150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eFt</a:t>
                </a:r>
              </a:p>
            </c:rich>
          </c:tx>
          <c:layout>
            <c:manualLayout>
              <c:xMode val="factor"/>
              <c:yMode val="factor"/>
              <c:x val="0.019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64608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375"/>
          <c:y val="0.0645"/>
          <c:w val="0.35725"/>
          <c:h val="0.1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A Városi Könyvtár 
</a:t>
            </a: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és a Mozgókönyvtári ellátórendszer
</a:t>
            </a: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működési és fejlesztési forrásai</a:t>
            </a:r>
            <a:r>
              <a:rPr lang="en-US" cap="none" sz="12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2012. évi terv (30.300 eFt)</a:t>
            </a:r>
          </a:p>
        </c:rich>
      </c:tx>
      <c:layout>
        <c:manualLayout>
          <c:xMode val="factor"/>
          <c:yMode val="factor"/>
          <c:x val="-0.03675"/>
          <c:y val="-0.0055"/>
        </c:manualLayout>
      </c:layout>
      <c:spPr>
        <a:noFill/>
        <a:ln>
          <a:noFill/>
        </a:ln>
      </c:spPr>
    </c:title>
    <c:view3D>
      <c:rotX val="3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95"/>
          <c:y val="0.46375"/>
          <c:w val="0.37475"/>
          <c:h val="0.375"/>
        </c:manualLayout>
      </c:layout>
      <c:pie3DChart>
        <c:varyColors val="1"/>
        <c:ser>
          <c:idx val="0"/>
          <c:order val="0"/>
          <c:tx>
            <c:strRef>
              <c:f>Elemi!$C$262</c:f>
              <c:strCache>
                <c:ptCount val="1"/>
                <c:pt idx="0">
                  <c:v>A Városi Könyvtár működési forrásai 2011. évi terv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Elemi!$C$263:$C$268</c:f>
              <c:strCache>
                <c:ptCount val="6"/>
                <c:pt idx="0">
                  <c:v>Pályázati források</c:v>
                </c:pt>
                <c:pt idx="1">
                  <c:v>Működési bevételek</c:v>
                </c:pt>
                <c:pt idx="2">
                  <c:v>Mozgókönyvtári normatíva</c:v>
                </c:pt>
                <c:pt idx="3">
                  <c:v>Mozgókönyvtári egyéb bevételek</c:v>
                </c:pt>
                <c:pt idx="4">
                  <c:v>"Elméleti" 1/4 normatíva*</c:v>
                </c:pt>
                <c:pt idx="5">
                  <c:v>Önkormányzati támogatás
helyi adókból</c:v>
                </c:pt>
              </c:strCache>
            </c:strRef>
          </c:cat>
          <c:val>
            <c:numRef>
              <c:f>Elemi!$D$263:$D$268</c:f>
              <c:numCache>
                <c:ptCount val="6"/>
                <c:pt idx="0">
                  <c:v>150</c:v>
                </c:pt>
                <c:pt idx="1">
                  <c:v>1050</c:v>
                </c:pt>
                <c:pt idx="2">
                  <c:v>12414</c:v>
                </c:pt>
                <c:pt idx="3">
                  <c:v>0</c:v>
                </c:pt>
                <c:pt idx="4">
                  <c:v>5602</c:v>
                </c:pt>
                <c:pt idx="5">
                  <c:v>11195.48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35"/>
          <c:y val="0.32775"/>
          <c:w val="0.4865"/>
          <c:h val="0.5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242</xdr:row>
      <xdr:rowOff>76200</xdr:rowOff>
    </xdr:from>
    <xdr:to>
      <xdr:col>5</xdr:col>
      <xdr:colOff>0</xdr:colOff>
      <xdr:row>257</xdr:row>
      <xdr:rowOff>133350</xdr:rowOff>
    </xdr:to>
    <xdr:graphicFrame>
      <xdr:nvGraphicFramePr>
        <xdr:cNvPr id="1" name="Chart 1"/>
        <xdr:cNvGraphicFramePr/>
      </xdr:nvGraphicFramePr>
      <xdr:xfrm>
        <a:off x="647700" y="51044475"/>
        <a:ext cx="42195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274</xdr:row>
      <xdr:rowOff>66675</xdr:rowOff>
    </xdr:from>
    <xdr:to>
      <xdr:col>5</xdr:col>
      <xdr:colOff>1057275</xdr:colOff>
      <xdr:row>296</xdr:row>
      <xdr:rowOff>19050</xdr:rowOff>
    </xdr:to>
    <xdr:graphicFrame>
      <xdr:nvGraphicFramePr>
        <xdr:cNvPr id="2" name="Diagram 41"/>
        <xdr:cNvGraphicFramePr/>
      </xdr:nvGraphicFramePr>
      <xdr:xfrm>
        <a:off x="142875" y="58350150"/>
        <a:ext cx="57816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amask\LOCALS~1\Temp\K&#246;lts&#233;gvet&#233;s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mask\Dokumentumok\K&#246;lts&#233;gvet&#233;shez%202012\2012.&#233;vi%20k&#246;tsgv.Szakszolg&#225;l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mi"/>
      <sheetName val="Illetménytábla"/>
      <sheetName val="Bér"/>
    </sheetNames>
    <sheetDataSet>
      <sheetData sheetId="1">
        <row r="2">
          <cell r="F2">
            <v>126300</v>
          </cell>
        </row>
        <row r="3">
          <cell r="F3">
            <v>130800</v>
          </cell>
        </row>
        <row r="11">
          <cell r="B11">
            <v>95700</v>
          </cell>
        </row>
        <row r="14">
          <cell r="F14">
            <v>196100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56011 Ped.Szaksz.,Nev.Tan."/>
    </sheetNames>
    <sheetDataSet>
      <sheetData sheetId="0">
        <row r="17">
          <cell r="H17">
            <v>1284599.75</v>
          </cell>
        </row>
        <row r="31">
          <cell r="H31">
            <v>1305499.75</v>
          </cell>
          <cell r="I31">
            <v>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8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62"/>
  <sheetViews>
    <sheetView view="pageBreakPreview" zoomScaleSheetLayoutView="100" zoomScalePageLayoutView="0" workbookViewId="0" topLeftCell="A37">
      <selection activeCell="A6" sqref="A6"/>
    </sheetView>
  </sheetViews>
  <sheetFormatPr defaultColWidth="9.140625" defaultRowHeight="12.75"/>
  <cols>
    <col min="1" max="1" width="78.00390625" style="0" customWidth="1"/>
    <col min="2" max="2" width="14.8515625" style="0" customWidth="1"/>
    <col min="3" max="3" width="12.28125" style="0" customWidth="1"/>
    <col min="4" max="5" width="14.140625" style="0" customWidth="1"/>
    <col min="6" max="6" width="11.421875" style="0" bestFit="1" customWidth="1"/>
    <col min="7" max="7" width="10.28125" style="0" bestFit="1" customWidth="1"/>
  </cols>
  <sheetData>
    <row r="1" spans="1:6" ht="12.75">
      <c r="A1" s="1410"/>
      <c r="B1" s="2396"/>
      <c r="C1" s="2396"/>
      <c r="D1" s="2015"/>
      <c r="E1" s="2014" t="s">
        <v>785</v>
      </c>
      <c r="F1" s="2020"/>
    </row>
    <row r="2" spans="1:5" ht="12.75">
      <c r="A2" s="1410"/>
      <c r="B2" s="1410"/>
      <c r="C2" s="1410"/>
      <c r="D2" s="2016"/>
      <c r="E2" s="2016"/>
    </row>
    <row r="3" spans="1:5" ht="12.75">
      <c r="A3" s="2399" t="s">
        <v>1342</v>
      </c>
      <c r="B3" s="2399"/>
      <c r="C3" s="2399"/>
      <c r="D3" s="2399"/>
      <c r="E3" s="2399"/>
    </row>
    <row r="4" spans="1:5" ht="12.75">
      <c r="A4" s="1410"/>
      <c r="B4" s="1410"/>
      <c r="C4" s="1410"/>
      <c r="D4" s="2016"/>
      <c r="E4" s="2016"/>
    </row>
    <row r="5" spans="1:5" ht="40.5" customHeight="1">
      <c r="A5" s="2398" t="s">
        <v>1666</v>
      </c>
      <c r="B5" s="2398"/>
      <c r="C5" s="2398"/>
      <c r="D5" s="2398"/>
      <c r="E5" s="2398"/>
    </row>
    <row r="6" spans="1:5" ht="12.75">
      <c r="A6" s="1410"/>
      <c r="B6" s="1410"/>
      <c r="C6" s="1410"/>
      <c r="D6" s="2016"/>
      <c r="E6" s="2016"/>
    </row>
    <row r="7" spans="1:5" ht="12.75">
      <c r="A7" s="2017"/>
      <c r="B7" s="2014"/>
      <c r="C7" s="1410"/>
      <c r="D7" s="2018"/>
      <c r="E7" s="2014" t="s">
        <v>1371</v>
      </c>
    </row>
    <row r="8" spans="1:5" ht="51">
      <c r="A8" s="54" t="s">
        <v>1432</v>
      </c>
      <c r="B8" s="16" t="s">
        <v>1745</v>
      </c>
      <c r="C8" s="16" t="s">
        <v>30</v>
      </c>
      <c r="D8" s="2019" t="s">
        <v>822</v>
      </c>
      <c r="E8" s="2019" t="s">
        <v>1353</v>
      </c>
    </row>
    <row r="9" spans="1:5" ht="12.75">
      <c r="A9" s="47" t="s">
        <v>1212</v>
      </c>
      <c r="B9" s="35">
        <f>+B10+B11+B12+B13+B14</f>
        <v>1361583.8945</v>
      </c>
      <c r="C9" s="35">
        <f>+C10+C11+C12+C13+C14</f>
        <v>1404841.1</v>
      </c>
      <c r="D9" s="35">
        <f>+D10+D11+D12+D13+D14</f>
        <v>1443585</v>
      </c>
      <c r="E9" s="2058">
        <f>D9/C9</f>
        <v>1.0275788485971828</v>
      </c>
    </row>
    <row r="10" spans="1:5" ht="12.75">
      <c r="A10" s="310" t="s">
        <v>1213</v>
      </c>
      <c r="B10" s="14">
        <f>+2bm!B28</f>
        <v>527065.8</v>
      </c>
      <c r="C10" s="14">
        <f>+2bm!C28</f>
        <v>546953.7</v>
      </c>
      <c r="D10" s="17">
        <f>+2bm!D28</f>
        <v>550143</v>
      </c>
      <c r="E10" s="2058">
        <f aca="true" t="shared" si="0" ref="E10:E60">D10/C10</f>
        <v>1.005831023722849</v>
      </c>
    </row>
    <row r="11" spans="1:5" ht="12.75">
      <c r="A11" s="310" t="s">
        <v>1214</v>
      </c>
      <c r="B11" s="14">
        <f>+2bm!F28</f>
        <v>129384.626</v>
      </c>
      <c r="C11" s="14">
        <f>+2bm!G28</f>
        <v>134754.40000000002</v>
      </c>
      <c r="D11" s="17">
        <f>+2bm!H28</f>
        <v>134977</v>
      </c>
      <c r="E11" s="2058">
        <f t="shared" si="0"/>
        <v>1.0016518941125483</v>
      </c>
    </row>
    <row r="12" spans="1:5" ht="12.75">
      <c r="A12" s="310" t="s">
        <v>1216</v>
      </c>
      <c r="B12" s="14">
        <f>+2bm!J28</f>
        <v>395286.46849999996</v>
      </c>
      <c r="C12" s="14">
        <f>+2bm!K28</f>
        <v>413286</v>
      </c>
      <c r="D12" s="17">
        <f>+2bm!L28</f>
        <v>542911</v>
      </c>
      <c r="E12" s="2058">
        <f t="shared" si="0"/>
        <v>1.3136447883547955</v>
      </c>
    </row>
    <row r="13" spans="1:5" ht="12.75">
      <c r="A13" s="310" t="s">
        <v>1215</v>
      </c>
      <c r="B13" s="14">
        <f>+2bm!N28</f>
        <v>201360</v>
      </c>
      <c r="C13" s="14">
        <f>+2bm!O28</f>
        <v>201360</v>
      </c>
      <c r="D13" s="17">
        <f>+2bm!P28</f>
        <v>147326</v>
      </c>
      <c r="E13" s="2058">
        <f t="shared" si="0"/>
        <v>0.7316547477155344</v>
      </c>
    </row>
    <row r="14" spans="1:5" ht="12.75">
      <c r="A14" s="310" t="s">
        <v>1217</v>
      </c>
      <c r="B14" s="14">
        <f>SUM(B15:B18)</f>
        <v>108487</v>
      </c>
      <c r="C14" s="14">
        <f>SUM(C15:C18)</f>
        <v>108487</v>
      </c>
      <c r="D14" s="17">
        <f>SUM(D15:D18)</f>
        <v>68228</v>
      </c>
      <c r="E14" s="2058">
        <f t="shared" si="0"/>
        <v>0.6289048457418861</v>
      </c>
    </row>
    <row r="15" spans="1:5" ht="12.75">
      <c r="A15" s="348" t="s">
        <v>1218</v>
      </c>
      <c r="B15" s="14">
        <f>SUM(2bm!R28)</f>
        <v>50672</v>
      </c>
      <c r="C15" s="14">
        <f>SUM(2bm!S28)</f>
        <v>50672</v>
      </c>
      <c r="D15" s="17">
        <f>SUM(2bm!T28)</f>
        <v>12421</v>
      </c>
      <c r="E15" s="2058">
        <f t="shared" si="0"/>
        <v>0.2451255131038838</v>
      </c>
    </row>
    <row r="16" spans="1:5" ht="12.75">
      <c r="A16" s="348" t="s">
        <v>1219</v>
      </c>
      <c r="B16" s="14">
        <f>SUM(2bm!V28)</f>
        <v>57815</v>
      </c>
      <c r="C16" s="14">
        <f>SUM(2bm!W28)</f>
        <v>57815</v>
      </c>
      <c r="D16" s="17">
        <f>SUM(2bm!X28)</f>
        <v>55807</v>
      </c>
      <c r="E16" s="2058">
        <f t="shared" si="0"/>
        <v>0.9652685289284788</v>
      </c>
    </row>
    <row r="17" spans="1:5" ht="12.75">
      <c r="A17" s="348" t="s">
        <v>1220</v>
      </c>
      <c r="B17" s="14">
        <v>0</v>
      </c>
      <c r="C17" s="14">
        <v>0</v>
      </c>
      <c r="D17" s="2170">
        <v>0</v>
      </c>
      <c r="E17" s="2058">
        <v>0</v>
      </c>
    </row>
    <row r="18" spans="1:5" ht="12.75">
      <c r="A18" s="348" t="s">
        <v>1221</v>
      </c>
      <c r="B18" s="14">
        <v>0</v>
      </c>
      <c r="C18" s="14">
        <v>0</v>
      </c>
      <c r="D18" s="2170">
        <v>0</v>
      </c>
      <c r="E18" s="2058">
        <v>0</v>
      </c>
    </row>
    <row r="19" spans="1:5" ht="12.75">
      <c r="A19" s="364" t="s">
        <v>1243</v>
      </c>
      <c r="B19" s="35">
        <f>+B20+B21+B22</f>
        <v>1100375.3302</v>
      </c>
      <c r="C19" s="35">
        <f>+C20+C21+C22-1</f>
        <v>1103626</v>
      </c>
      <c r="D19" s="50">
        <f>+D20+D21+D22</f>
        <v>117338</v>
      </c>
      <c r="E19" s="2058">
        <f t="shared" si="0"/>
        <v>0.10632043826441204</v>
      </c>
    </row>
    <row r="20" spans="1:5" ht="12.75">
      <c r="A20" s="923" t="s">
        <v>1244</v>
      </c>
      <c r="B20" s="6">
        <f>+4bm!H8</f>
        <v>224350</v>
      </c>
      <c r="C20" s="6">
        <f>+4bm!I8</f>
        <v>224858</v>
      </c>
      <c r="D20" s="39">
        <f>+4bm!J8</f>
        <v>54603</v>
      </c>
      <c r="E20" s="2058">
        <f t="shared" si="0"/>
        <v>0.2428332547652296</v>
      </c>
    </row>
    <row r="21" spans="1:5" ht="12.75">
      <c r="A21" s="923" t="s">
        <v>1245</v>
      </c>
      <c r="B21" s="6">
        <f>+4bm!H28</f>
        <v>795538.78</v>
      </c>
      <c r="C21" s="6">
        <f>+4bm!I28</f>
        <v>798282</v>
      </c>
      <c r="D21" s="39">
        <f>+4bm!J28</f>
        <v>26718</v>
      </c>
      <c r="E21" s="2058">
        <f t="shared" si="0"/>
        <v>0.03346937548385157</v>
      </c>
    </row>
    <row r="22" spans="1:5" ht="12.75">
      <c r="A22" s="923" t="s">
        <v>316</v>
      </c>
      <c r="B22" s="6">
        <f>SUM(B23:B28)</f>
        <v>80486.5502</v>
      </c>
      <c r="C22" s="6">
        <f>SUM(C23:C28)</f>
        <v>80487</v>
      </c>
      <c r="D22" s="39">
        <f>SUM(D23:D28)</f>
        <v>36017</v>
      </c>
      <c r="E22" s="2058">
        <f t="shared" si="0"/>
        <v>0.44748841427808217</v>
      </c>
    </row>
    <row r="23" spans="1:5" ht="12.75">
      <c r="A23" s="938" t="s">
        <v>317</v>
      </c>
      <c r="B23" s="6">
        <f>+4bm!H47</f>
        <v>0</v>
      </c>
      <c r="C23" s="6">
        <f>+4bm!I47</f>
        <v>0</v>
      </c>
      <c r="D23" s="39">
        <f>+4bm!J47</f>
        <v>30486</v>
      </c>
      <c r="E23" s="2058">
        <v>0</v>
      </c>
    </row>
    <row r="24" spans="1:5" ht="12.75">
      <c r="A24" s="938" t="s">
        <v>318</v>
      </c>
      <c r="B24" s="6">
        <f>+4bm!H49</f>
        <v>1582</v>
      </c>
      <c r="C24" s="6">
        <f>+4bm!I49</f>
        <v>1582</v>
      </c>
      <c r="D24" s="39">
        <f>+4bm!J49</f>
        <v>5011</v>
      </c>
      <c r="E24" s="2058">
        <f t="shared" si="0"/>
        <v>3.1675094816687737</v>
      </c>
    </row>
    <row r="25" spans="1:5" ht="12.75">
      <c r="A25" s="938" t="s">
        <v>319</v>
      </c>
      <c r="B25" s="6">
        <f>+4bm!H54</f>
        <v>0</v>
      </c>
      <c r="C25" s="6">
        <f>+4bm!I54</f>
        <v>0</v>
      </c>
      <c r="D25" s="39">
        <f>+4bm!J54</f>
        <v>0</v>
      </c>
      <c r="E25" s="2058">
        <v>0</v>
      </c>
    </row>
    <row r="26" spans="1:5" ht="12.75">
      <c r="A26" s="938" t="s">
        <v>555</v>
      </c>
      <c r="B26" s="6">
        <f>SUM(4bm!H55)</f>
        <v>21760.9002</v>
      </c>
      <c r="C26" s="6">
        <f>SUM(4bm!I55)</f>
        <v>21761</v>
      </c>
      <c r="D26" s="39">
        <f>SUM(4bm!J55)</f>
        <v>0</v>
      </c>
      <c r="E26" s="2058">
        <f t="shared" si="0"/>
        <v>0</v>
      </c>
    </row>
    <row r="27" spans="1:5" ht="12.75">
      <c r="A27" s="938" t="s">
        <v>556</v>
      </c>
      <c r="B27" s="6">
        <f>SUM(4bm!H57)</f>
        <v>53093.65</v>
      </c>
      <c r="C27" s="6">
        <f>SUM(4bm!I57)</f>
        <v>53094</v>
      </c>
      <c r="D27" s="39">
        <f>SUM(4bm!J57)</f>
        <v>0</v>
      </c>
      <c r="E27" s="2058">
        <f t="shared" si="0"/>
        <v>0</v>
      </c>
    </row>
    <row r="28" spans="1:5" ht="12.75">
      <c r="A28" s="938" t="s">
        <v>557</v>
      </c>
      <c r="B28" s="6">
        <f>SUM(4bm!H59)</f>
        <v>4050</v>
      </c>
      <c r="C28" s="6">
        <f>SUM(4bm!I59)</f>
        <v>4050</v>
      </c>
      <c r="D28" s="39">
        <f>SUM(4bm!J59)</f>
        <v>520</v>
      </c>
      <c r="E28" s="2058">
        <f t="shared" si="0"/>
        <v>0.12839506172839507</v>
      </c>
    </row>
    <row r="29" spans="1:5" ht="12.75">
      <c r="A29" s="47" t="s">
        <v>560</v>
      </c>
      <c r="B29" s="35">
        <v>0</v>
      </c>
      <c r="C29" s="35">
        <v>0</v>
      </c>
      <c r="D29" s="2171">
        <v>2774</v>
      </c>
      <c r="E29" s="2058">
        <v>0</v>
      </c>
    </row>
    <row r="30" spans="1:5" ht="12.75">
      <c r="A30" s="9" t="s">
        <v>558</v>
      </c>
      <c r="B30" s="35">
        <f>+B31+B32</f>
        <v>137294.67566666665</v>
      </c>
      <c r="C30" s="35">
        <f>+C31+C32+1</f>
        <v>137295</v>
      </c>
      <c r="D30" s="50">
        <f>+D31+D32</f>
        <v>1091560</v>
      </c>
      <c r="E30" s="2058">
        <f t="shared" si="0"/>
        <v>7.950471612221858</v>
      </c>
    </row>
    <row r="31" spans="1:5" ht="12.75">
      <c r="A31" s="310" t="s">
        <v>1224</v>
      </c>
      <c r="B31" s="14">
        <f>+2am!Z18</f>
        <v>57260.182</v>
      </c>
      <c r="C31" s="14">
        <f>+2am!AA18</f>
        <v>57260</v>
      </c>
      <c r="D31" s="14">
        <f>+2am!AB18</f>
        <v>1016538</v>
      </c>
      <c r="E31" s="2058">
        <f t="shared" si="0"/>
        <v>17.75302130632204</v>
      </c>
    </row>
    <row r="32" spans="1:5" ht="12.75">
      <c r="A32" s="310" t="s">
        <v>320</v>
      </c>
      <c r="B32" s="14">
        <f>+4bm!H61</f>
        <v>80034.49366666666</v>
      </c>
      <c r="C32" s="14">
        <f>+4bm!I61</f>
        <v>80034</v>
      </c>
      <c r="D32" s="14">
        <f>+4bm!J61</f>
        <v>75022</v>
      </c>
      <c r="E32" s="2058">
        <f t="shared" si="0"/>
        <v>0.9373766149386511</v>
      </c>
    </row>
    <row r="33" spans="1:5" ht="12.75">
      <c r="A33" s="47" t="s">
        <v>559</v>
      </c>
      <c r="B33" s="35">
        <f>+B34+B37</f>
        <v>34298</v>
      </c>
      <c r="C33" s="35">
        <f>+C34+C37</f>
        <v>31047</v>
      </c>
      <c r="D33" s="35">
        <f>+D34+D37</f>
        <v>0</v>
      </c>
      <c r="E33" s="2058">
        <f t="shared" si="0"/>
        <v>0</v>
      </c>
    </row>
    <row r="34" spans="1:5" ht="12.75">
      <c r="A34" s="177" t="s">
        <v>1968</v>
      </c>
      <c r="B34" s="6">
        <f>B35+B36</f>
        <v>34098</v>
      </c>
      <c r="C34" s="6">
        <f>C35+C36</f>
        <v>30847</v>
      </c>
      <c r="D34" s="6">
        <f>D35+D36</f>
        <v>0</v>
      </c>
      <c r="E34" s="2058">
        <f t="shared" si="0"/>
        <v>0</v>
      </c>
    </row>
    <row r="35" spans="1:5" ht="12.75">
      <c r="A35" s="939" t="s">
        <v>396</v>
      </c>
      <c r="B35" s="6">
        <f>5m!B15</f>
        <v>100</v>
      </c>
      <c r="C35" s="6">
        <f>5m!C15</f>
        <v>100</v>
      </c>
      <c r="D35" s="6">
        <f>5m!D15</f>
        <v>0</v>
      </c>
      <c r="E35" s="2058">
        <f t="shared" si="0"/>
        <v>0</v>
      </c>
    </row>
    <row r="36" spans="1:5" ht="12.75">
      <c r="A36" s="939" t="s">
        <v>397</v>
      </c>
      <c r="B36" s="6">
        <f>5m!B16</f>
        <v>33998</v>
      </c>
      <c r="C36" s="6">
        <f>5m!C16</f>
        <v>30747</v>
      </c>
      <c r="D36" s="6">
        <f>5m!D16</f>
        <v>0</v>
      </c>
      <c r="E36" s="2058">
        <f t="shared" si="0"/>
        <v>0</v>
      </c>
    </row>
    <row r="37" spans="1:5" ht="12.75">
      <c r="A37" s="177" t="s">
        <v>241</v>
      </c>
      <c r="B37" s="389">
        <f>SUM(B38:B39)</f>
        <v>200</v>
      </c>
      <c r="C37" s="389">
        <f>SUM(C38:C39)</f>
        <v>200</v>
      </c>
      <c r="D37" s="389">
        <f>SUM(D38:D39)</f>
        <v>0</v>
      </c>
      <c r="E37" s="2058">
        <f t="shared" si="0"/>
        <v>0</v>
      </c>
    </row>
    <row r="38" spans="1:5" ht="12.75">
      <c r="A38" s="939" t="s">
        <v>396</v>
      </c>
      <c r="B38" s="6">
        <f>+5m!B19</f>
        <v>100</v>
      </c>
      <c r="C38" s="6">
        <f>+5m!C19</f>
        <v>100</v>
      </c>
      <c r="D38" s="6">
        <f>+5m!D19</f>
        <v>0</v>
      </c>
      <c r="E38" s="2058">
        <f t="shared" si="0"/>
        <v>0</v>
      </c>
    </row>
    <row r="39" spans="1:5" ht="12.75">
      <c r="A39" s="939" t="s">
        <v>397</v>
      </c>
      <c r="B39" s="6">
        <f>5m!B20</f>
        <v>100</v>
      </c>
      <c r="C39" s="6">
        <f>5m!C20</f>
        <v>100</v>
      </c>
      <c r="D39" s="6">
        <f>5m!D20</f>
        <v>0</v>
      </c>
      <c r="E39" s="2058">
        <f t="shared" si="0"/>
        <v>0</v>
      </c>
    </row>
    <row r="40" spans="1:5" ht="15.75">
      <c r="A40" s="180" t="s">
        <v>1969</v>
      </c>
      <c r="B40" s="182">
        <f>+B9+B19+B30+B33</f>
        <v>2633551.9003666667</v>
      </c>
      <c r="C40" s="182">
        <f>+C9+C19+C30+C33</f>
        <v>2676809.1</v>
      </c>
      <c r="D40" s="182">
        <f>+D9+D19+D30+D33+D29</f>
        <v>2655257</v>
      </c>
      <c r="E40" s="2058">
        <f t="shared" si="0"/>
        <v>0.9919485853511182</v>
      </c>
    </row>
    <row r="41" spans="1:5" ht="12.75">
      <c r="A41" s="924"/>
      <c r="B41" s="309"/>
      <c r="C41" s="889"/>
      <c r="D41" s="2013"/>
      <c r="E41" s="2058"/>
    </row>
    <row r="42" spans="1:5" ht="15" customHeight="1">
      <c r="A42" s="11" t="s">
        <v>1184</v>
      </c>
      <c r="B42" s="35">
        <f>+B43+B44+B45+B46</f>
        <v>1176219.8412012686</v>
      </c>
      <c r="C42" s="35">
        <f>+C43+C44+C45+C46</f>
        <v>1370127.6400000001</v>
      </c>
      <c r="D42" s="35">
        <f>+D43+D44+D45+D46</f>
        <v>1472025</v>
      </c>
      <c r="E42" s="2058">
        <f t="shared" si="0"/>
        <v>1.0743707060752383</v>
      </c>
    </row>
    <row r="43" spans="1:5" s="9" customFormat="1" ht="12.75">
      <c r="A43" s="13" t="s">
        <v>398</v>
      </c>
      <c r="B43" s="17">
        <f>1bm!B29</f>
        <v>56652</v>
      </c>
      <c r="C43" s="17">
        <f>1bm!C29</f>
        <v>56652</v>
      </c>
      <c r="D43" s="17">
        <f>1bm!D29</f>
        <v>81635</v>
      </c>
      <c r="E43" s="2058">
        <f t="shared" si="0"/>
        <v>1.4409906093341807</v>
      </c>
    </row>
    <row r="44" spans="1:5" s="24" customFormat="1" ht="12.75">
      <c r="A44" s="567" t="s">
        <v>399</v>
      </c>
      <c r="B44" s="17">
        <f>1bm!F29</f>
        <v>326979</v>
      </c>
      <c r="C44" s="17">
        <f>1bm!G29</f>
        <v>326979</v>
      </c>
      <c r="D44" s="17">
        <f>1bm!H29</f>
        <v>349316</v>
      </c>
      <c r="E44" s="2058">
        <f t="shared" si="0"/>
        <v>1.0683132555913377</v>
      </c>
    </row>
    <row r="45" spans="1:5" s="42" customFormat="1" ht="12.75">
      <c r="A45" s="567" t="s">
        <v>400</v>
      </c>
      <c r="B45" s="651">
        <f>1bm!J29</f>
        <v>493709</v>
      </c>
      <c r="C45" s="651">
        <f>1bm!K29</f>
        <v>687616.64</v>
      </c>
      <c r="D45" s="651">
        <f>1bm!L29</f>
        <v>687616</v>
      </c>
      <c r="E45" s="2058">
        <f t="shared" si="0"/>
        <v>0.9999990692488187</v>
      </c>
    </row>
    <row r="46" spans="1:5" s="42" customFormat="1" ht="12.75">
      <c r="A46" s="567" t="s">
        <v>401</v>
      </c>
      <c r="B46" s="17">
        <f>1bm!N29+1bm!R29</f>
        <v>298879.8412012686</v>
      </c>
      <c r="C46" s="17">
        <f>1bm!O29+1bm!S29</f>
        <v>298880</v>
      </c>
      <c r="D46" s="17">
        <f>1bm!P29+1bm!T29</f>
        <v>353458</v>
      </c>
      <c r="E46" s="2058">
        <f t="shared" si="0"/>
        <v>1.1826084047109209</v>
      </c>
    </row>
    <row r="47" spans="1:5" s="42" customFormat="1" ht="12.75">
      <c r="A47" s="47" t="s">
        <v>402</v>
      </c>
      <c r="B47" s="50">
        <f>+B48+B49+B50</f>
        <v>1185788.1691943307</v>
      </c>
      <c r="C47" s="50">
        <f>+C48+C49+C50</f>
        <v>1185788.1691943307</v>
      </c>
      <c r="D47" s="50">
        <f>+D48+D49+D50</f>
        <v>235020</v>
      </c>
      <c r="E47" s="2058">
        <f t="shared" si="0"/>
        <v>0.19819728860988844</v>
      </c>
    </row>
    <row r="48" spans="1:5" s="42" customFormat="1" ht="12.75">
      <c r="A48" s="739" t="s">
        <v>403</v>
      </c>
      <c r="B48" s="758">
        <f>4am!B8</f>
        <v>180628</v>
      </c>
      <c r="C48" s="758">
        <f>4am!C8</f>
        <v>180628</v>
      </c>
      <c r="D48" s="743">
        <f>4am!D8</f>
        <v>22122</v>
      </c>
      <c r="E48" s="2058">
        <f t="shared" si="0"/>
        <v>0.12247270633567332</v>
      </c>
    </row>
    <row r="49" spans="1:5" s="42" customFormat="1" ht="12.75">
      <c r="A49" s="739" t="s">
        <v>404</v>
      </c>
      <c r="B49" s="758">
        <f>4am!B27</f>
        <v>61223</v>
      </c>
      <c r="C49" s="758">
        <f>4am!C27</f>
        <v>61223</v>
      </c>
      <c r="D49" s="743">
        <f>4am!D27</f>
        <v>34719</v>
      </c>
      <c r="E49" s="2058">
        <f t="shared" si="0"/>
        <v>0.5670907992094474</v>
      </c>
    </row>
    <row r="50" spans="1:5" s="42" customFormat="1" ht="12.75">
      <c r="A50" s="749" t="s">
        <v>551</v>
      </c>
      <c r="B50" s="758">
        <f>4am!B36</f>
        <v>943937.1691943307</v>
      </c>
      <c r="C50" s="758">
        <f>4am!C36</f>
        <v>943937.1691943307</v>
      </c>
      <c r="D50" s="743">
        <f>4am!D36</f>
        <v>178179</v>
      </c>
      <c r="E50" s="2058">
        <f t="shared" si="0"/>
        <v>0.18876150427689944</v>
      </c>
    </row>
    <row r="51" spans="1:5" s="42" customFormat="1" ht="12.75">
      <c r="A51" s="752" t="s">
        <v>552</v>
      </c>
      <c r="B51" s="213">
        <v>0</v>
      </c>
      <c r="C51" s="41">
        <v>0</v>
      </c>
      <c r="D51" s="2176">
        <v>610</v>
      </c>
      <c r="E51" s="2058">
        <v>0</v>
      </c>
    </row>
    <row r="52" spans="1:5" s="42" customFormat="1" ht="12.75">
      <c r="A52" s="11" t="s">
        <v>2097</v>
      </c>
      <c r="B52" s="213">
        <v>0</v>
      </c>
      <c r="C52" s="41">
        <v>0</v>
      </c>
      <c r="D52" s="2176">
        <v>998</v>
      </c>
      <c r="E52" s="2058">
        <v>0</v>
      </c>
    </row>
    <row r="53" spans="1:5" s="9" customFormat="1" ht="12.75">
      <c r="A53" s="11" t="s">
        <v>2096</v>
      </c>
      <c r="B53" s="50">
        <f>+B55+B56+B58+B59</f>
        <v>271544.23529873136</v>
      </c>
      <c r="C53" s="50">
        <f>+C55+C56+C58+C59</f>
        <v>120893.46000000008</v>
      </c>
      <c r="D53" s="50">
        <f>+D55+D56+D58+D59</f>
        <v>904758</v>
      </c>
      <c r="E53" s="2058">
        <f t="shared" si="0"/>
        <v>7.483928411015777</v>
      </c>
    </row>
    <row r="54" spans="1:5" ht="12.75">
      <c r="A54" s="356" t="s">
        <v>477</v>
      </c>
      <c r="B54" s="39"/>
      <c r="C54" s="6"/>
      <c r="D54" s="2012"/>
      <c r="E54" s="2058"/>
    </row>
    <row r="55" spans="1:5" ht="25.5">
      <c r="A55" s="908" t="s">
        <v>478</v>
      </c>
      <c r="B55" s="39">
        <f>+2m!B61</f>
        <v>3021.3</v>
      </c>
      <c r="C55" s="39">
        <f>+2m!C61</f>
        <v>3021</v>
      </c>
      <c r="D55" s="39">
        <f>+2m!D61</f>
        <v>0</v>
      </c>
      <c r="E55" s="2058">
        <f t="shared" si="0"/>
        <v>0</v>
      </c>
    </row>
    <row r="56" spans="1:5" ht="12.75">
      <c r="A56" s="909" t="s">
        <v>483</v>
      </c>
      <c r="B56" s="39">
        <f>+2m!B62</f>
        <v>239802.93529873138</v>
      </c>
      <c r="C56" s="39">
        <f>+2m!C62</f>
        <v>89152.46000000008</v>
      </c>
      <c r="D56" s="39">
        <f>+2m!D62</f>
        <v>889168</v>
      </c>
      <c r="E56" s="2058">
        <f t="shared" si="0"/>
        <v>9.973566629569158</v>
      </c>
    </row>
    <row r="57" spans="1:5" ht="12.75">
      <c r="A57" s="890" t="s">
        <v>479</v>
      </c>
      <c r="B57" s="39"/>
      <c r="C57" s="39"/>
      <c r="D57" s="2012"/>
      <c r="E57" s="2058"/>
    </row>
    <row r="58" spans="1:5" ht="25.5">
      <c r="A58" s="909" t="s">
        <v>481</v>
      </c>
      <c r="B58" s="39">
        <f>4am!B61</f>
        <v>28720</v>
      </c>
      <c r="C58" s="39">
        <f>4am!C61</f>
        <v>28720</v>
      </c>
      <c r="D58" s="39">
        <f>4am!D61</f>
        <v>0</v>
      </c>
      <c r="E58" s="2058">
        <f t="shared" si="0"/>
        <v>0</v>
      </c>
    </row>
    <row r="59" spans="1:5" ht="25.5">
      <c r="A59" s="909" t="s">
        <v>482</v>
      </c>
      <c r="B59" s="39">
        <f>+4am!B59</f>
        <v>0</v>
      </c>
      <c r="C59" s="39">
        <f>+4am!C59</f>
        <v>0</v>
      </c>
      <c r="D59" s="39">
        <f>+4am!D59</f>
        <v>15590</v>
      </c>
      <c r="E59" s="2058">
        <v>0</v>
      </c>
    </row>
    <row r="60" spans="1:5" s="30" customFormat="1" ht="15.75">
      <c r="A60" s="180" t="s">
        <v>1966</v>
      </c>
      <c r="B60" s="940">
        <f>+B42+B47+B53</f>
        <v>2633552.245694331</v>
      </c>
      <c r="C60" s="940">
        <f>+C42+C47+C53</f>
        <v>2676809.269194331</v>
      </c>
      <c r="D60" s="940">
        <f>+D42+D47+D53+D51+D52</f>
        <v>2613411</v>
      </c>
      <c r="E60" s="2058">
        <f t="shared" si="0"/>
        <v>0.9763157315973384</v>
      </c>
    </row>
    <row r="61" spans="1:4" ht="12.75">
      <c r="A61" s="2397"/>
      <c r="B61" s="2397"/>
      <c r="C61" s="2397"/>
      <c r="D61" s="2004"/>
    </row>
    <row r="62" spans="2:5" ht="12.75">
      <c r="B62" s="7"/>
      <c r="D62" s="7"/>
      <c r="E62" s="7"/>
    </row>
  </sheetData>
  <sheetProtection/>
  <mergeCells count="4">
    <mergeCell ref="B1:C1"/>
    <mergeCell ref="A61:C61"/>
    <mergeCell ref="A5:E5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R130"/>
  <sheetViews>
    <sheetView view="pageBreakPreview" zoomScale="85" zoomScaleSheetLayoutView="85" zoomScalePageLayoutView="0" workbookViewId="0" topLeftCell="A76">
      <selection activeCell="J23" sqref="J23"/>
    </sheetView>
  </sheetViews>
  <sheetFormatPr defaultColWidth="9.140625" defaultRowHeight="27" customHeight="1"/>
  <cols>
    <col min="1" max="1" width="72.57421875" style="98" bestFit="1" customWidth="1"/>
    <col min="2" max="2" width="12.7109375" style="98" customWidth="1"/>
    <col min="3" max="4" width="12.28125" style="98" customWidth="1"/>
    <col min="5" max="5" width="12.421875" style="98" customWidth="1"/>
    <col min="6" max="7" width="12.57421875" style="98" customWidth="1"/>
    <col min="8" max="8" width="12.8515625" style="98" customWidth="1"/>
    <col min="9" max="9" width="11.7109375" style="98" customWidth="1"/>
    <col min="10" max="10" width="13.57421875" style="98" customWidth="1"/>
    <col min="11" max="11" width="13.8515625" style="98" customWidth="1"/>
    <col min="12" max="12" width="11.8515625" style="98" bestFit="1" customWidth="1"/>
    <col min="13" max="13" width="38.57421875" style="98" customWidth="1"/>
    <col min="14" max="14" width="9.28125" style="98" bestFit="1" customWidth="1"/>
    <col min="15" max="16384" width="9.140625" style="98" customWidth="1"/>
  </cols>
  <sheetData>
    <row r="1" spans="5:11" ht="15">
      <c r="E1" s="2329"/>
      <c r="F1" s="2329"/>
      <c r="G1" s="2329"/>
      <c r="H1" s="2329"/>
      <c r="K1" s="287" t="s">
        <v>2106</v>
      </c>
    </row>
    <row r="2" spans="1:11" ht="22.5" customHeight="1">
      <c r="A2" s="2333" t="s">
        <v>1345</v>
      </c>
      <c r="B2" s="2333"/>
      <c r="C2" s="2333"/>
      <c r="D2" s="2333"/>
      <c r="E2" s="2333"/>
      <c r="F2" s="2333"/>
      <c r="G2" s="2333"/>
      <c r="H2" s="2333"/>
      <c r="I2" s="2333"/>
      <c r="J2" s="2333"/>
      <c r="K2" s="2333"/>
    </row>
    <row r="3" spans="1:4" ht="3" customHeight="1" hidden="1">
      <c r="A3" s="45"/>
      <c r="B3" s="45"/>
      <c r="C3" s="45"/>
      <c r="D3" s="45"/>
    </row>
    <row r="4" spans="1:11" ht="23.25" customHeight="1">
      <c r="A4" s="2421" t="s">
        <v>2107</v>
      </c>
      <c r="B4" s="2421"/>
      <c r="C4" s="2421"/>
      <c r="D4" s="2421"/>
      <c r="E4" s="2421"/>
      <c r="F4" s="2421"/>
      <c r="G4" s="2421"/>
      <c r="H4" s="2421"/>
      <c r="I4" s="2421"/>
      <c r="J4" s="2421"/>
      <c r="K4" s="2421"/>
    </row>
    <row r="5" spans="1:11" ht="17.25" customHeight="1">
      <c r="A5" s="803"/>
      <c r="B5" s="804"/>
      <c r="C5" s="804"/>
      <c r="D5" s="804"/>
      <c r="E5" s="804"/>
      <c r="F5" s="2022"/>
      <c r="G5" s="2022"/>
      <c r="H5" s="334"/>
      <c r="K5" s="334" t="s">
        <v>1601</v>
      </c>
    </row>
    <row r="6" spans="1:11" ht="36" customHeight="1">
      <c r="A6" s="141" t="s">
        <v>1432</v>
      </c>
      <c r="B6" s="2321" t="s">
        <v>1609</v>
      </c>
      <c r="C6" s="2322"/>
      <c r="D6" s="2323"/>
      <c r="E6" s="2334" t="s">
        <v>1755</v>
      </c>
      <c r="F6" s="2335"/>
      <c r="G6" s="2320"/>
      <c r="H6" s="2330" t="s">
        <v>1610</v>
      </c>
      <c r="I6" s="2331"/>
      <c r="J6" s="2331"/>
      <c r="K6" s="2332"/>
    </row>
    <row r="7" spans="1:11" ht="36" customHeight="1">
      <c r="A7" s="141"/>
      <c r="B7" s="141" t="s">
        <v>1325</v>
      </c>
      <c r="C7" s="141" t="s">
        <v>1326</v>
      </c>
      <c r="D7" s="142" t="s">
        <v>822</v>
      </c>
      <c r="E7" s="142" t="s">
        <v>1325</v>
      </c>
      <c r="F7" s="142" t="s">
        <v>1327</v>
      </c>
      <c r="G7" s="142" t="s">
        <v>822</v>
      </c>
      <c r="H7" s="142" t="s">
        <v>1325</v>
      </c>
      <c r="I7" s="142" t="s">
        <v>1326</v>
      </c>
      <c r="J7" s="142" t="s">
        <v>822</v>
      </c>
      <c r="K7" s="142" t="s">
        <v>1353</v>
      </c>
    </row>
    <row r="8" spans="1:11" ht="36" customHeight="1">
      <c r="A8" s="143" t="s">
        <v>379</v>
      </c>
      <c r="B8" s="144">
        <f aca="true" t="shared" si="0" ref="B8:J8">+B9+B13</f>
        <v>21840.142826666663</v>
      </c>
      <c r="C8" s="144">
        <f t="shared" si="0"/>
        <v>22348</v>
      </c>
      <c r="D8" s="144">
        <f t="shared" si="0"/>
        <v>52275</v>
      </c>
      <c r="E8" s="144">
        <f t="shared" si="0"/>
        <v>250509.00384000002</v>
      </c>
      <c r="F8" s="144">
        <f t="shared" si="0"/>
        <v>250509</v>
      </c>
      <c r="G8" s="144">
        <f t="shared" si="0"/>
        <v>2328</v>
      </c>
      <c r="H8" s="144">
        <f t="shared" si="0"/>
        <v>224350</v>
      </c>
      <c r="I8" s="144">
        <f t="shared" si="0"/>
        <v>224858</v>
      </c>
      <c r="J8" s="387">
        <f t="shared" si="0"/>
        <v>54603</v>
      </c>
      <c r="K8" s="2056">
        <f>J8/I8</f>
        <v>0.2428332547652296</v>
      </c>
    </row>
    <row r="9" spans="1:11" ht="25.5" customHeight="1">
      <c r="A9" s="925" t="s">
        <v>380</v>
      </c>
      <c r="B9" s="385">
        <f aca="true" t="shared" si="1" ref="B9:G9">SUM(B10:B11)</f>
        <v>8808.142826666663</v>
      </c>
      <c r="C9" s="385">
        <f t="shared" si="1"/>
        <v>8808</v>
      </c>
      <c r="D9" s="385">
        <f t="shared" si="1"/>
        <v>1851</v>
      </c>
      <c r="E9" s="385">
        <f t="shared" si="1"/>
        <v>62926.003840000005</v>
      </c>
      <c r="F9" s="385">
        <f t="shared" si="1"/>
        <v>62926</v>
      </c>
      <c r="G9" s="385">
        <f t="shared" si="1"/>
        <v>0</v>
      </c>
      <c r="H9" s="385">
        <f>SUM(H10:H12)</f>
        <v>23735</v>
      </c>
      <c r="I9" s="385">
        <f>SUM(I10:I12)</f>
        <v>23735</v>
      </c>
      <c r="J9" s="385">
        <f>SUM(J10:J12)</f>
        <v>1851</v>
      </c>
      <c r="K9" s="2056">
        <f aca="true" t="shared" si="2" ref="K9:K79">J9/I9</f>
        <v>0.07798609648198862</v>
      </c>
    </row>
    <row r="10" spans="1:14" ht="27" customHeight="1">
      <c r="A10" s="935" t="s">
        <v>502</v>
      </c>
      <c r="B10" s="421">
        <f>'Fejlesztési kiadások'!E31+'Fejlesztési kiadások'!E32</f>
        <v>3481.25</v>
      </c>
      <c r="C10" s="421">
        <v>3481</v>
      </c>
      <c r="D10" s="421">
        <v>1851</v>
      </c>
      <c r="E10" s="421">
        <v>0</v>
      </c>
      <c r="F10" s="421">
        <v>0</v>
      </c>
      <c r="G10" s="421">
        <v>0</v>
      </c>
      <c r="H10" s="421">
        <f>+B10+E10</f>
        <v>3481.25</v>
      </c>
      <c r="I10" s="421">
        <f>+C10+F10</f>
        <v>3481</v>
      </c>
      <c r="J10" s="420">
        <v>1851</v>
      </c>
      <c r="K10" s="2056">
        <f t="shared" si="2"/>
        <v>0.5317437517954611</v>
      </c>
      <c r="N10" s="144">
        <f>H11+H72</f>
        <v>68252.89666666667</v>
      </c>
    </row>
    <row r="11" spans="1:11" ht="27" customHeight="1">
      <c r="A11" s="935" t="s">
        <v>194</v>
      </c>
      <c r="B11" s="421">
        <f>N10-E11</f>
        <v>5326.892826666663</v>
      </c>
      <c r="C11" s="421">
        <v>5327</v>
      </c>
      <c r="D11" s="421"/>
      <c r="E11" s="421">
        <f>'Fejlesztési bevételek'!E32</f>
        <v>62926.003840000005</v>
      </c>
      <c r="F11" s="421">
        <v>62926</v>
      </c>
      <c r="G11" s="421">
        <v>0</v>
      </c>
      <c r="H11" s="421">
        <f>'Fejlesztési kiadások'!E35+'Fejlesztési kiadások'!E36</f>
        <v>18753.75</v>
      </c>
      <c r="I11" s="421">
        <v>18754</v>
      </c>
      <c r="J11" s="98">
        <v>0</v>
      </c>
      <c r="K11" s="2056">
        <f t="shared" si="2"/>
        <v>0</v>
      </c>
    </row>
    <row r="12" spans="1:11" ht="27" customHeight="1">
      <c r="A12" s="935" t="s">
        <v>2150</v>
      </c>
      <c r="B12" s="421">
        <v>1500</v>
      </c>
      <c r="C12" s="421">
        <v>1500</v>
      </c>
      <c r="D12" s="421"/>
      <c r="E12" s="421">
        <v>0</v>
      </c>
      <c r="F12" s="421">
        <v>0</v>
      </c>
      <c r="G12" s="421">
        <v>0</v>
      </c>
      <c r="H12" s="421">
        <v>1500</v>
      </c>
      <c r="I12" s="421">
        <v>1500</v>
      </c>
      <c r="J12" s="144">
        <v>0</v>
      </c>
      <c r="K12" s="2056">
        <f t="shared" si="2"/>
        <v>0</v>
      </c>
    </row>
    <row r="13" spans="1:11" s="104" customFormat="1" ht="23.25" customHeight="1">
      <c r="A13" s="925" t="s">
        <v>381</v>
      </c>
      <c r="B13" s="2007">
        <f aca="true" t="shared" si="3" ref="B13:I13">+B14+B16+B17+B21</f>
        <v>13032</v>
      </c>
      <c r="C13" s="2007">
        <f t="shared" si="3"/>
        <v>13540</v>
      </c>
      <c r="D13" s="2007">
        <f t="shared" si="3"/>
        <v>50424</v>
      </c>
      <c r="E13" s="2007">
        <f t="shared" si="3"/>
        <v>187583</v>
      </c>
      <c r="F13" s="2007">
        <f t="shared" si="3"/>
        <v>187583</v>
      </c>
      <c r="G13" s="2007">
        <f t="shared" si="3"/>
        <v>2328</v>
      </c>
      <c r="H13" s="2007">
        <f t="shared" si="3"/>
        <v>200615</v>
      </c>
      <c r="I13" s="2007">
        <f t="shared" si="3"/>
        <v>201123</v>
      </c>
      <c r="J13" s="2007">
        <f>+J14+J16+J17+J21</f>
        <v>52752</v>
      </c>
      <c r="K13" s="2056">
        <f t="shared" si="2"/>
        <v>0.26228725705165495</v>
      </c>
    </row>
    <row r="14" spans="1:14" s="30" customFormat="1" ht="27" customHeight="1">
      <c r="A14" s="738" t="s">
        <v>384</v>
      </c>
      <c r="B14" s="421">
        <f aca="true" t="shared" si="4" ref="B14:J14">+B15</f>
        <v>13032</v>
      </c>
      <c r="C14" s="421">
        <f t="shared" si="4"/>
        <v>13032</v>
      </c>
      <c r="D14" s="421">
        <f t="shared" si="4"/>
        <v>0</v>
      </c>
      <c r="E14" s="421">
        <f t="shared" si="4"/>
        <v>187583</v>
      </c>
      <c r="F14" s="421">
        <f t="shared" si="4"/>
        <v>187583</v>
      </c>
      <c r="G14" s="421">
        <f t="shared" si="4"/>
        <v>0</v>
      </c>
      <c r="H14" s="421">
        <f t="shared" si="4"/>
        <v>200615</v>
      </c>
      <c r="I14" s="421">
        <f t="shared" si="4"/>
        <v>200615</v>
      </c>
      <c r="J14" s="421">
        <f t="shared" si="4"/>
        <v>0</v>
      </c>
      <c r="K14" s="2056">
        <f t="shared" si="2"/>
        <v>0</v>
      </c>
      <c r="N14" s="335"/>
    </row>
    <row r="15" spans="1:14" s="30" customFormat="1" ht="27" customHeight="1">
      <c r="A15" s="935" t="s">
        <v>1231</v>
      </c>
      <c r="B15" s="421">
        <f>H15-E15</f>
        <v>13032</v>
      </c>
      <c r="C15" s="421">
        <v>13032</v>
      </c>
      <c r="D15" s="421">
        <v>0</v>
      </c>
      <c r="E15" s="421">
        <f>'Fejlesztési bevételek'!E28</f>
        <v>187583</v>
      </c>
      <c r="F15" s="421">
        <v>187583</v>
      </c>
      <c r="G15" s="421">
        <v>0</v>
      </c>
      <c r="H15" s="421">
        <f>'Fejlesztési kiadások'!E42+'Fejlesztési kiadások'!E43</f>
        <v>200615</v>
      </c>
      <c r="I15" s="421">
        <v>200615</v>
      </c>
      <c r="J15" s="421">
        <v>0</v>
      </c>
      <c r="K15" s="2056">
        <f t="shared" si="2"/>
        <v>0</v>
      </c>
      <c r="N15" s="335"/>
    </row>
    <row r="16" spans="1:11" ht="27" customHeight="1">
      <c r="A16" s="738" t="s">
        <v>383</v>
      </c>
      <c r="B16" s="421">
        <v>0</v>
      </c>
      <c r="C16" s="421">
        <v>0</v>
      </c>
      <c r="D16" s="421">
        <v>0</v>
      </c>
      <c r="E16" s="421">
        <v>0</v>
      </c>
      <c r="F16" s="421">
        <v>0</v>
      </c>
      <c r="G16" s="421">
        <v>0</v>
      </c>
      <c r="H16" s="421">
        <v>0</v>
      </c>
      <c r="I16" s="421">
        <v>0</v>
      </c>
      <c r="J16" s="144">
        <v>0</v>
      </c>
      <c r="K16" s="2056">
        <v>0</v>
      </c>
    </row>
    <row r="17" spans="1:11" ht="27" customHeight="1">
      <c r="A17" s="738" t="s">
        <v>382</v>
      </c>
      <c r="B17" s="421">
        <v>0</v>
      </c>
      <c r="C17" s="421">
        <v>0</v>
      </c>
      <c r="D17" s="144">
        <f>D18+D20+D19</f>
        <v>80</v>
      </c>
      <c r="E17" s="421">
        <v>0</v>
      </c>
      <c r="F17" s="421">
        <v>0</v>
      </c>
      <c r="G17" s="144">
        <f>G18+G20+G19</f>
        <v>1970</v>
      </c>
      <c r="H17" s="421">
        <v>0</v>
      </c>
      <c r="I17" s="421">
        <v>0</v>
      </c>
      <c r="J17" s="144">
        <f>J18+J20+J19</f>
        <v>2050</v>
      </c>
      <c r="K17" s="2056">
        <v>0</v>
      </c>
    </row>
    <row r="18" spans="1:11" ht="27" customHeight="1">
      <c r="A18" s="738" t="s">
        <v>279</v>
      </c>
      <c r="B18" s="421">
        <v>0</v>
      </c>
      <c r="C18" s="421">
        <v>0</v>
      </c>
      <c r="D18" s="421">
        <v>0</v>
      </c>
      <c r="E18" s="421">
        <v>0</v>
      </c>
      <c r="F18" s="421">
        <v>0</v>
      </c>
      <c r="G18" s="421">
        <v>1197</v>
      </c>
      <c r="H18" s="421">
        <v>0</v>
      </c>
      <c r="I18" s="421">
        <v>0</v>
      </c>
      <c r="J18" s="420">
        <v>1197</v>
      </c>
      <c r="K18" s="2056">
        <v>0</v>
      </c>
    </row>
    <row r="19" spans="1:11" ht="27" customHeight="1">
      <c r="A19" s="738" t="s">
        <v>2209</v>
      </c>
      <c r="B19" s="421">
        <v>0</v>
      </c>
      <c r="C19" s="421">
        <v>0</v>
      </c>
      <c r="D19" s="421">
        <v>80</v>
      </c>
      <c r="E19" s="421">
        <v>0</v>
      </c>
      <c r="F19" s="421">
        <v>0</v>
      </c>
      <c r="G19" s="421">
        <v>0</v>
      </c>
      <c r="H19" s="421">
        <v>0</v>
      </c>
      <c r="I19" s="421">
        <v>0</v>
      </c>
      <c r="J19" s="420">
        <v>80</v>
      </c>
      <c r="K19" s="2056">
        <v>0</v>
      </c>
    </row>
    <row r="20" spans="1:11" ht="27" customHeight="1">
      <c r="A20" s="928" t="s">
        <v>329</v>
      </c>
      <c r="B20" s="421">
        <v>0</v>
      </c>
      <c r="C20" s="421">
        <v>0</v>
      </c>
      <c r="D20" s="421">
        <v>0</v>
      </c>
      <c r="E20" s="421">
        <v>0</v>
      </c>
      <c r="F20" s="421">
        <v>0</v>
      </c>
      <c r="G20" s="421">
        <v>773</v>
      </c>
      <c r="H20" s="421">
        <v>0</v>
      </c>
      <c r="I20" s="421">
        <v>0</v>
      </c>
      <c r="J20" s="420">
        <v>773</v>
      </c>
      <c r="K20" s="2056">
        <v>0</v>
      </c>
    </row>
    <row r="21" spans="1:11" ht="27" customHeight="1">
      <c r="A21" s="738" t="s">
        <v>385</v>
      </c>
      <c r="B21" s="421">
        <v>0</v>
      </c>
      <c r="C21" s="421">
        <f>C22</f>
        <v>508</v>
      </c>
      <c r="D21" s="387">
        <f>SUM(D22:D27)</f>
        <v>50344</v>
      </c>
      <c r="E21" s="421">
        <v>0</v>
      </c>
      <c r="F21" s="421">
        <f>F22</f>
        <v>0</v>
      </c>
      <c r="G21" s="387">
        <f>SUM(G22:G27)</f>
        <v>358</v>
      </c>
      <c r="H21" s="421">
        <f>+B21+E21</f>
        <v>0</v>
      </c>
      <c r="I21" s="421">
        <f>I22</f>
        <v>508</v>
      </c>
      <c r="J21" s="387">
        <f>SUM(J22:J27)</f>
        <v>50702</v>
      </c>
      <c r="K21" s="2056">
        <f t="shared" si="2"/>
        <v>99.80708661417323</v>
      </c>
    </row>
    <row r="22" spans="1:11" ht="23.25" customHeight="1">
      <c r="A22" s="738" t="s">
        <v>274</v>
      </c>
      <c r="B22" s="421">
        <v>0</v>
      </c>
      <c r="C22" s="421">
        <v>508</v>
      </c>
      <c r="D22" s="420">
        <v>475</v>
      </c>
      <c r="E22" s="421">
        <v>0</v>
      </c>
      <c r="F22" s="421">
        <v>0</v>
      </c>
      <c r="G22" s="421">
        <v>0</v>
      </c>
      <c r="H22" s="421">
        <v>0</v>
      </c>
      <c r="I22" s="421">
        <v>508</v>
      </c>
      <c r="J22" s="420">
        <v>475</v>
      </c>
      <c r="K22" s="2056">
        <f t="shared" si="2"/>
        <v>0.9350393700787402</v>
      </c>
    </row>
    <row r="23" spans="1:11" ht="23.25" customHeight="1">
      <c r="A23" s="738" t="s">
        <v>275</v>
      </c>
      <c r="B23" s="421">
        <v>0</v>
      </c>
      <c r="C23" s="421">
        <v>0</v>
      </c>
      <c r="D23" s="420">
        <v>15450</v>
      </c>
      <c r="E23" s="421">
        <v>0</v>
      </c>
      <c r="F23" s="421">
        <v>0</v>
      </c>
      <c r="G23" s="421">
        <v>0</v>
      </c>
      <c r="H23" s="421">
        <v>0</v>
      </c>
      <c r="I23" s="421">
        <v>0</v>
      </c>
      <c r="J23" s="420">
        <v>15450</v>
      </c>
      <c r="K23" s="2056">
        <v>0</v>
      </c>
    </row>
    <row r="24" spans="1:11" ht="23.25" customHeight="1">
      <c r="A24" s="738" t="s">
        <v>276</v>
      </c>
      <c r="B24" s="421">
        <v>0</v>
      </c>
      <c r="C24" s="421">
        <v>0</v>
      </c>
      <c r="D24" s="420">
        <v>238</v>
      </c>
      <c r="E24" s="421">
        <v>0</v>
      </c>
      <c r="F24" s="421">
        <v>0</v>
      </c>
      <c r="G24" s="421">
        <v>0</v>
      </c>
      <c r="H24" s="421">
        <v>0</v>
      </c>
      <c r="I24" s="421">
        <v>0</v>
      </c>
      <c r="J24" s="420">
        <v>238</v>
      </c>
      <c r="K24" s="2056">
        <v>0</v>
      </c>
    </row>
    <row r="25" spans="1:11" ht="23.25" customHeight="1">
      <c r="A25" s="738" t="s">
        <v>277</v>
      </c>
      <c r="B25" s="421">
        <v>0</v>
      </c>
      <c r="C25" s="421">
        <v>0</v>
      </c>
      <c r="D25" s="421">
        <v>0</v>
      </c>
      <c r="E25" s="421">
        <v>0</v>
      </c>
      <c r="F25" s="421">
        <v>0</v>
      </c>
      <c r="G25" s="421">
        <v>358</v>
      </c>
      <c r="H25" s="421">
        <v>0</v>
      </c>
      <c r="I25" s="421">
        <v>0</v>
      </c>
      <c r="J25" s="420">
        <v>358</v>
      </c>
      <c r="K25" s="2056">
        <v>0</v>
      </c>
    </row>
    <row r="26" spans="1:11" ht="23.25" customHeight="1">
      <c r="A26" s="738" t="s">
        <v>278</v>
      </c>
      <c r="B26" s="421">
        <v>0</v>
      </c>
      <c r="C26" s="421">
        <v>0</v>
      </c>
      <c r="D26" s="420">
        <v>34088</v>
      </c>
      <c r="E26" s="421">
        <v>0</v>
      </c>
      <c r="F26" s="421">
        <v>0</v>
      </c>
      <c r="G26" s="421">
        <v>0</v>
      </c>
      <c r="H26" s="421">
        <v>0</v>
      </c>
      <c r="I26" s="421">
        <v>0</v>
      </c>
      <c r="J26" s="420">
        <v>34088</v>
      </c>
      <c r="K26" s="2056">
        <v>0</v>
      </c>
    </row>
    <row r="27" spans="1:11" ht="23.25" customHeight="1">
      <c r="A27" s="738" t="s">
        <v>2210</v>
      </c>
      <c r="B27" s="421">
        <v>0</v>
      </c>
      <c r="C27" s="421">
        <v>0</v>
      </c>
      <c r="D27" s="421">
        <v>93</v>
      </c>
      <c r="E27" s="421">
        <v>0</v>
      </c>
      <c r="F27" s="421">
        <v>0</v>
      </c>
      <c r="G27" s="421">
        <v>0</v>
      </c>
      <c r="H27" s="421">
        <v>0</v>
      </c>
      <c r="I27" s="421">
        <v>0</v>
      </c>
      <c r="J27" s="421">
        <v>93</v>
      </c>
      <c r="K27" s="2056">
        <v>0</v>
      </c>
    </row>
    <row r="28" spans="1:11" ht="27.75" customHeight="1">
      <c r="A28" s="143" t="s">
        <v>386</v>
      </c>
      <c r="B28" s="387">
        <f aca="true" t="shared" si="5" ref="B28:J28">+B29+B34</f>
        <v>47339.62992125987</v>
      </c>
      <c r="C28" s="387">
        <f t="shared" si="5"/>
        <v>50083</v>
      </c>
      <c r="D28" s="2008">
        <f t="shared" si="5"/>
        <v>5220</v>
      </c>
      <c r="E28" s="2008">
        <f t="shared" si="5"/>
        <v>748199.1500787402</v>
      </c>
      <c r="F28" s="2008">
        <f t="shared" si="5"/>
        <v>748199</v>
      </c>
      <c r="G28" s="2008">
        <f t="shared" si="5"/>
        <v>22018</v>
      </c>
      <c r="H28" s="2008">
        <f t="shared" si="5"/>
        <v>795538.78</v>
      </c>
      <c r="I28" s="2008">
        <f t="shared" si="5"/>
        <v>798282</v>
      </c>
      <c r="J28" s="2008">
        <f t="shared" si="5"/>
        <v>26718</v>
      </c>
      <c r="K28" s="2056">
        <f t="shared" si="2"/>
        <v>0.03346937548385157</v>
      </c>
    </row>
    <row r="29" spans="1:11" ht="23.25" customHeight="1">
      <c r="A29" s="925" t="s">
        <v>387</v>
      </c>
      <c r="B29" s="2007">
        <f aca="true" t="shared" si="6" ref="B29:J29">SUM(B30:B33)</f>
        <v>32951.97000000002</v>
      </c>
      <c r="C29" s="2007">
        <f t="shared" si="6"/>
        <v>32952</v>
      </c>
      <c r="D29" s="2007">
        <f t="shared" si="6"/>
        <v>2250</v>
      </c>
      <c r="E29" s="2007">
        <f t="shared" si="6"/>
        <v>263571</v>
      </c>
      <c r="F29" s="2007">
        <f t="shared" si="6"/>
        <v>263571</v>
      </c>
      <c r="G29" s="2007">
        <f t="shared" si="6"/>
        <v>12809</v>
      </c>
      <c r="H29" s="2007">
        <f t="shared" si="6"/>
        <v>296522.97000000003</v>
      </c>
      <c r="I29" s="2007">
        <f t="shared" si="6"/>
        <v>296523</v>
      </c>
      <c r="J29" s="2007">
        <f t="shared" si="6"/>
        <v>15059</v>
      </c>
      <c r="K29" s="2056">
        <f t="shared" si="2"/>
        <v>0.05078526792188127</v>
      </c>
    </row>
    <row r="30" spans="1:11" ht="21.75" customHeight="1">
      <c r="A30" s="936" t="s">
        <v>1227</v>
      </c>
      <c r="B30" s="421">
        <f>H30-E30</f>
        <v>26157.52000000002</v>
      </c>
      <c r="C30" s="421">
        <v>26158</v>
      </c>
      <c r="D30" s="421">
        <v>0</v>
      </c>
      <c r="E30" s="421">
        <f>'Fejlesztési bevételek'!E30+'Fejlesztési bevételek'!E31</f>
        <v>173075</v>
      </c>
      <c r="F30" s="421">
        <v>173075</v>
      </c>
      <c r="G30" s="421">
        <v>10544</v>
      </c>
      <c r="H30" s="421">
        <f>'Fejlesztési kiadások'!E6+'Fejlesztési kiadások'!E7</f>
        <v>199232.52000000002</v>
      </c>
      <c r="I30" s="421">
        <v>199233</v>
      </c>
      <c r="J30" s="421">
        <f>9956+588</f>
        <v>10544</v>
      </c>
      <c r="K30" s="2056">
        <f t="shared" si="2"/>
        <v>0.05292295954987376</v>
      </c>
    </row>
    <row r="31" spans="1:11" ht="31.5" customHeight="1">
      <c r="A31" s="929" t="s">
        <v>1228</v>
      </c>
      <c r="B31" s="421">
        <f>H31-E31</f>
        <v>2267.370000000001</v>
      </c>
      <c r="C31" s="421">
        <v>2267</v>
      </c>
      <c r="D31" s="421">
        <v>0</v>
      </c>
      <c r="E31" s="421">
        <f>'Fejlesztési bevételek'!E40</f>
        <v>11615</v>
      </c>
      <c r="F31" s="421">
        <v>11615</v>
      </c>
      <c r="G31" s="421">
        <v>0</v>
      </c>
      <c r="H31" s="421">
        <f>'Fejlesztési kiadások'!E15+'Fejlesztési kiadások'!E16</f>
        <v>13882.37</v>
      </c>
      <c r="I31" s="421">
        <v>13882</v>
      </c>
      <c r="J31" s="421">
        <v>0</v>
      </c>
      <c r="K31" s="2056">
        <f t="shared" si="2"/>
        <v>0</v>
      </c>
    </row>
    <row r="32" spans="1:11" ht="25.5" customHeight="1">
      <c r="A32" s="929" t="s">
        <v>1229</v>
      </c>
      <c r="B32" s="421">
        <f>H32-E32</f>
        <v>2277.0800000000017</v>
      </c>
      <c r="C32" s="421">
        <v>2277</v>
      </c>
      <c r="D32" s="421">
        <v>0</v>
      </c>
      <c r="E32" s="421">
        <f>'Fejlesztési bevételek'!E26+'Fejlesztési bevételek'!E27</f>
        <v>78881</v>
      </c>
      <c r="F32" s="421">
        <v>78881</v>
      </c>
      <c r="G32" s="421">
        <v>2265</v>
      </c>
      <c r="H32" s="421">
        <f>'Fejlesztési kiadások'!E8+'Fejlesztési kiadások'!E9</f>
        <v>81158.08</v>
      </c>
      <c r="I32" s="421">
        <v>81158</v>
      </c>
      <c r="J32" s="421">
        <v>2265</v>
      </c>
      <c r="K32" s="2056">
        <f t="shared" si="2"/>
        <v>0.0279085241134577</v>
      </c>
    </row>
    <row r="33" spans="1:11" ht="24.75" customHeight="1">
      <c r="A33" s="929" t="s">
        <v>1230</v>
      </c>
      <c r="B33" s="421">
        <f>H33</f>
        <v>2250</v>
      </c>
      <c r="C33" s="421">
        <v>2250</v>
      </c>
      <c r="D33" s="421">
        <v>2250</v>
      </c>
      <c r="E33" s="421">
        <v>0</v>
      </c>
      <c r="F33" s="421">
        <v>0</v>
      </c>
      <c r="G33" s="421">
        <v>0</v>
      </c>
      <c r="H33" s="421">
        <f>'Fejlesztési kiadások'!E10+'Fejlesztési kiadások'!E11</f>
        <v>2250</v>
      </c>
      <c r="I33" s="421">
        <v>2250</v>
      </c>
      <c r="J33" s="421">
        <v>2250</v>
      </c>
      <c r="K33" s="2056">
        <f t="shared" si="2"/>
        <v>1</v>
      </c>
    </row>
    <row r="34" spans="1:11" ht="27" customHeight="1">
      <c r="A34" s="925" t="s">
        <v>388</v>
      </c>
      <c r="B34" s="2007">
        <f>SUM(B35:B37)</f>
        <v>14387.659921259841</v>
      </c>
      <c r="C34" s="2007">
        <f>SUM(C35:C41)</f>
        <v>17131</v>
      </c>
      <c r="D34" s="2007">
        <f>SUM(D35:D45)</f>
        <v>2970</v>
      </c>
      <c r="E34" s="2007">
        <f>SUM(E35:E37)</f>
        <v>484628.15007874015</v>
      </c>
      <c r="F34" s="2007">
        <f>SUM(F35:F41)</f>
        <v>484628</v>
      </c>
      <c r="G34" s="2007">
        <f>SUM(G35:G45)</f>
        <v>9209</v>
      </c>
      <c r="H34" s="2007">
        <f>SUM(H35:H37)</f>
        <v>499015.81</v>
      </c>
      <c r="I34" s="2007">
        <f>SUM(I35:I41)</f>
        <v>501759</v>
      </c>
      <c r="J34" s="2007">
        <f>SUM(J35:J45)</f>
        <v>11659</v>
      </c>
      <c r="K34" s="2056">
        <f t="shared" si="2"/>
        <v>0.023236254855418637</v>
      </c>
    </row>
    <row r="35" spans="1:11" ht="27" customHeight="1">
      <c r="A35" s="738" t="s">
        <v>1078</v>
      </c>
      <c r="B35" s="421">
        <f>'Fejlesztési kiadások'!E24+'Fejlesztési kiadások'!E25</f>
        <v>5080</v>
      </c>
      <c r="C35" s="421">
        <v>5080</v>
      </c>
      <c r="D35" s="421">
        <v>0</v>
      </c>
      <c r="E35" s="421">
        <v>0</v>
      </c>
      <c r="F35" s="421">
        <v>0</v>
      </c>
      <c r="G35" s="421">
        <v>2446</v>
      </c>
      <c r="H35" s="421">
        <f>B35+E35</f>
        <v>5080</v>
      </c>
      <c r="I35" s="421">
        <v>5080</v>
      </c>
      <c r="J35" s="421">
        <v>1926</v>
      </c>
      <c r="K35" s="2056">
        <f t="shared" si="2"/>
        <v>0.37913385826771656</v>
      </c>
    </row>
    <row r="36" spans="1:11" ht="27" customHeight="1">
      <c r="A36" s="738" t="s">
        <v>666</v>
      </c>
      <c r="B36" s="421">
        <f>H36-E36</f>
        <v>1323.8100000000004</v>
      </c>
      <c r="C36" s="421">
        <v>1324</v>
      </c>
      <c r="D36" s="421">
        <v>0</v>
      </c>
      <c r="E36" s="421">
        <f>'Fejlesztési bevételek'!E35</f>
        <v>4903</v>
      </c>
      <c r="F36" s="421">
        <v>4903</v>
      </c>
      <c r="G36" s="421">
        <v>6763</v>
      </c>
      <c r="H36" s="421">
        <f>'Fejlesztési kiadások'!E21+'Fejlesztési kiadások'!E22</f>
        <v>6226.81</v>
      </c>
      <c r="I36" s="421">
        <v>6227</v>
      </c>
      <c r="J36" s="421">
        <v>6763</v>
      </c>
      <c r="K36" s="2056">
        <f t="shared" si="2"/>
        <v>1.0860767624859482</v>
      </c>
    </row>
    <row r="37" spans="1:11" ht="27" customHeight="1">
      <c r="A37" s="738" t="s">
        <v>1144</v>
      </c>
      <c r="B37" s="421">
        <f>Szennyvíztársulás!G14</f>
        <v>7983.849921259842</v>
      </c>
      <c r="C37" s="421">
        <v>7984</v>
      </c>
      <c r="D37" s="421">
        <v>0</v>
      </c>
      <c r="E37" s="421">
        <f>H37-B37</f>
        <v>479725.15007874015</v>
      </c>
      <c r="F37" s="421">
        <v>479725</v>
      </c>
      <c r="G37" s="421">
        <v>0</v>
      </c>
      <c r="H37" s="421">
        <f>'Fejlesztési kiadások'!E45+'Fejlesztési kiadások'!E46</f>
        <v>487709</v>
      </c>
      <c r="I37" s="421">
        <v>487709</v>
      </c>
      <c r="J37" s="421">
        <v>0</v>
      </c>
      <c r="K37" s="2056">
        <f t="shared" si="2"/>
        <v>0</v>
      </c>
    </row>
    <row r="38" spans="1:11" ht="27" customHeight="1">
      <c r="A38" s="738" t="s">
        <v>1334</v>
      </c>
      <c r="B38" s="421">
        <v>0</v>
      </c>
      <c r="C38" s="421">
        <v>1147</v>
      </c>
      <c r="D38" s="421">
        <v>1572</v>
      </c>
      <c r="E38" s="421">
        <v>0</v>
      </c>
      <c r="F38" s="421">
        <v>0</v>
      </c>
      <c r="G38" s="421">
        <v>0</v>
      </c>
      <c r="H38" s="421">
        <v>0</v>
      </c>
      <c r="I38" s="421">
        <v>1147</v>
      </c>
      <c r="J38" s="421">
        <v>1572</v>
      </c>
      <c r="K38" s="2056">
        <f t="shared" si="2"/>
        <v>1.3705318221447254</v>
      </c>
    </row>
    <row r="39" spans="1:11" ht="27" customHeight="1">
      <c r="A39" s="738" t="s">
        <v>1330</v>
      </c>
      <c r="B39" s="421">
        <v>0</v>
      </c>
      <c r="C39" s="421">
        <v>720</v>
      </c>
      <c r="D39" s="421">
        <v>0</v>
      </c>
      <c r="E39" s="421">
        <v>0</v>
      </c>
      <c r="F39" s="421">
        <v>0</v>
      </c>
      <c r="G39" s="421">
        <v>0</v>
      </c>
      <c r="H39" s="421">
        <v>0</v>
      </c>
      <c r="I39" s="421">
        <v>720</v>
      </c>
      <c r="J39" s="421">
        <v>0</v>
      </c>
      <c r="K39" s="2056">
        <f t="shared" si="2"/>
        <v>0</v>
      </c>
    </row>
    <row r="40" spans="1:11" ht="27" customHeight="1">
      <c r="A40" s="738" t="s">
        <v>1329</v>
      </c>
      <c r="B40" s="421">
        <v>0</v>
      </c>
      <c r="C40" s="421">
        <v>298</v>
      </c>
      <c r="D40" s="421">
        <v>0</v>
      </c>
      <c r="E40" s="421">
        <v>0</v>
      </c>
      <c r="F40" s="421">
        <v>0</v>
      </c>
      <c r="G40" s="421">
        <v>0</v>
      </c>
      <c r="H40" s="421">
        <v>0</v>
      </c>
      <c r="I40" s="421">
        <v>298</v>
      </c>
      <c r="J40" s="421">
        <v>0</v>
      </c>
      <c r="K40" s="2056">
        <f t="shared" si="2"/>
        <v>0</v>
      </c>
    </row>
    <row r="41" spans="1:11" ht="27" customHeight="1">
      <c r="A41" s="738" t="s">
        <v>1328</v>
      </c>
      <c r="B41" s="421">
        <v>0</v>
      </c>
      <c r="C41" s="421">
        <v>578</v>
      </c>
      <c r="D41" s="421">
        <v>0</v>
      </c>
      <c r="E41" s="421">
        <v>0</v>
      </c>
      <c r="F41" s="421">
        <v>0</v>
      </c>
      <c r="G41" s="421">
        <v>0</v>
      </c>
      <c r="H41" s="421">
        <v>0</v>
      </c>
      <c r="I41" s="421">
        <v>578</v>
      </c>
      <c r="J41" s="421">
        <v>0</v>
      </c>
      <c r="K41" s="2056">
        <f t="shared" si="2"/>
        <v>0</v>
      </c>
    </row>
    <row r="42" spans="1:11" ht="27" customHeight="1">
      <c r="A42" s="738" t="s">
        <v>280</v>
      </c>
      <c r="B42" s="421">
        <v>0</v>
      </c>
      <c r="C42" s="421">
        <v>0</v>
      </c>
      <c r="D42" s="421">
        <v>65</v>
      </c>
      <c r="E42" s="421">
        <v>0</v>
      </c>
      <c r="F42" s="421">
        <v>0</v>
      </c>
      <c r="G42" s="421">
        <v>0</v>
      </c>
      <c r="H42" s="421">
        <v>0</v>
      </c>
      <c r="I42" s="421">
        <v>0</v>
      </c>
      <c r="J42" s="421">
        <v>65</v>
      </c>
      <c r="K42" s="2056">
        <v>0</v>
      </c>
    </row>
    <row r="43" spans="1:11" ht="27" customHeight="1">
      <c r="A43" s="738" t="s">
        <v>281</v>
      </c>
      <c r="B43" s="421">
        <v>0</v>
      </c>
      <c r="C43" s="421">
        <v>0</v>
      </c>
      <c r="D43" s="421">
        <v>587</v>
      </c>
      <c r="E43" s="421">
        <v>0</v>
      </c>
      <c r="F43" s="421">
        <v>0</v>
      </c>
      <c r="G43" s="421">
        <v>0</v>
      </c>
      <c r="H43" s="421">
        <v>0</v>
      </c>
      <c r="I43" s="421">
        <v>0</v>
      </c>
      <c r="J43" s="421">
        <v>587</v>
      </c>
      <c r="K43" s="2056">
        <v>0</v>
      </c>
    </row>
    <row r="44" spans="1:11" ht="27" customHeight="1">
      <c r="A44" s="738" t="s">
        <v>272</v>
      </c>
      <c r="B44" s="421">
        <v>0</v>
      </c>
      <c r="C44" s="421">
        <v>0</v>
      </c>
      <c r="D44" s="421">
        <v>328</v>
      </c>
      <c r="E44" s="421">
        <v>0</v>
      </c>
      <c r="F44" s="421">
        <v>0</v>
      </c>
      <c r="G44" s="421">
        <v>0</v>
      </c>
      <c r="H44" s="421">
        <v>0</v>
      </c>
      <c r="I44" s="421">
        <v>0</v>
      </c>
      <c r="J44" s="421">
        <v>328</v>
      </c>
      <c r="K44" s="2056">
        <v>0</v>
      </c>
    </row>
    <row r="45" spans="1:11" ht="27" customHeight="1">
      <c r="A45" s="738" t="s">
        <v>273</v>
      </c>
      <c r="B45" s="421">
        <v>0</v>
      </c>
      <c r="C45" s="421">
        <v>0</v>
      </c>
      <c r="D45" s="421">
        <v>418</v>
      </c>
      <c r="E45" s="421">
        <v>0</v>
      </c>
      <c r="F45" s="421">
        <v>0</v>
      </c>
      <c r="G45" s="421">
        <v>0</v>
      </c>
      <c r="H45" s="421">
        <v>0</v>
      </c>
      <c r="I45" s="421">
        <v>0</v>
      </c>
      <c r="J45" s="421">
        <v>418</v>
      </c>
      <c r="K45" s="2056">
        <v>0</v>
      </c>
    </row>
    <row r="46" spans="1:11" s="30" customFormat="1" ht="27" customHeight="1">
      <c r="A46" s="143" t="s">
        <v>389</v>
      </c>
      <c r="B46" s="387">
        <f>+B47+B49+B54+B55+B57+B59</f>
        <v>80486.5502</v>
      </c>
      <c r="C46" s="387">
        <f>+C47+C49+C54+C55+C57+C59</f>
        <v>80487</v>
      </c>
      <c r="D46" s="387">
        <f>+D47+D49+D54+D55+D57+D59</f>
        <v>1428</v>
      </c>
      <c r="E46" s="387">
        <f>+E47+E49+E54+E55+E57+E59</f>
        <v>0</v>
      </c>
      <c r="F46" s="387">
        <v>0</v>
      </c>
      <c r="G46" s="387">
        <f>+G47+G49+G54+G55+G57+G59</f>
        <v>34069</v>
      </c>
      <c r="H46" s="387">
        <f>+H47+H49+H54+H55+H57+H59</f>
        <v>80486.5502</v>
      </c>
      <c r="I46" s="387">
        <f>+I47+I49+I54+I55+I57+I59</f>
        <v>80487</v>
      </c>
      <c r="J46" s="387">
        <f>+J47+J49+J54+J55+J57+J59</f>
        <v>36017</v>
      </c>
      <c r="K46" s="2056">
        <f t="shared" si="2"/>
        <v>0.44748841427808217</v>
      </c>
    </row>
    <row r="47" spans="1:11" s="30" customFormat="1" ht="27" customHeight="1">
      <c r="A47" s="925" t="s">
        <v>390</v>
      </c>
      <c r="B47" s="385">
        <v>0</v>
      </c>
      <c r="C47" s="385">
        <v>0</v>
      </c>
      <c r="D47" s="385">
        <v>0</v>
      </c>
      <c r="E47" s="385">
        <v>0</v>
      </c>
      <c r="F47" s="385">
        <v>0</v>
      </c>
      <c r="G47" s="387">
        <f>G48</f>
        <v>30486</v>
      </c>
      <c r="H47" s="385">
        <v>0</v>
      </c>
      <c r="I47" s="385">
        <v>0</v>
      </c>
      <c r="J47" s="387">
        <f>J48</f>
        <v>30486</v>
      </c>
      <c r="K47" s="2056">
        <v>0</v>
      </c>
    </row>
    <row r="48" spans="1:11" s="30" customFormat="1" ht="27" customHeight="1">
      <c r="A48" s="782" t="s">
        <v>267</v>
      </c>
      <c r="B48" s="385">
        <v>0</v>
      </c>
      <c r="C48" s="385">
        <v>0</v>
      </c>
      <c r="D48" s="385">
        <v>0</v>
      </c>
      <c r="E48" s="385">
        <v>0</v>
      </c>
      <c r="F48" s="385">
        <v>0</v>
      </c>
      <c r="G48" s="385">
        <v>30486</v>
      </c>
      <c r="H48" s="385">
        <v>0</v>
      </c>
      <c r="I48" s="385">
        <v>0</v>
      </c>
      <c r="J48" s="421">
        <v>30486</v>
      </c>
      <c r="K48" s="2056">
        <v>0</v>
      </c>
    </row>
    <row r="49" spans="1:11" ht="36.75" customHeight="1">
      <c r="A49" s="937" t="s">
        <v>391</v>
      </c>
      <c r="B49" s="2007">
        <f aca="true" t="shared" si="7" ref="B49:J49">SUM(B50:B53)</f>
        <v>1582</v>
      </c>
      <c r="C49" s="2007">
        <f t="shared" si="7"/>
        <v>1582</v>
      </c>
      <c r="D49" s="2007">
        <f t="shared" si="7"/>
        <v>1428</v>
      </c>
      <c r="E49" s="2007">
        <f t="shared" si="7"/>
        <v>0</v>
      </c>
      <c r="F49" s="2007">
        <f t="shared" si="7"/>
        <v>0</v>
      </c>
      <c r="G49" s="2007">
        <f t="shared" si="7"/>
        <v>3583</v>
      </c>
      <c r="H49" s="2007">
        <f t="shared" si="7"/>
        <v>1582</v>
      </c>
      <c r="I49" s="2007">
        <f t="shared" si="7"/>
        <v>1582</v>
      </c>
      <c r="J49" s="2007">
        <f t="shared" si="7"/>
        <v>5011</v>
      </c>
      <c r="K49" s="2056">
        <f t="shared" si="2"/>
        <v>3.1675094816687737</v>
      </c>
    </row>
    <row r="50" spans="1:11" ht="45.75" customHeight="1">
      <c r="A50" s="933" t="s">
        <v>268</v>
      </c>
      <c r="B50" s="421">
        <v>0</v>
      </c>
      <c r="C50" s="421">
        <v>0</v>
      </c>
      <c r="D50" s="421">
        <v>0</v>
      </c>
      <c r="E50" s="421">
        <v>0</v>
      </c>
      <c r="F50" s="421">
        <v>0</v>
      </c>
      <c r="G50" s="421">
        <v>0</v>
      </c>
      <c r="H50" s="421">
        <f>B50+E50</f>
        <v>0</v>
      </c>
      <c r="I50" s="385">
        <v>0</v>
      </c>
      <c r="J50" s="421">
        <v>0</v>
      </c>
      <c r="K50" s="2056">
        <v>0</v>
      </c>
    </row>
    <row r="51" spans="1:16" ht="32.25" customHeight="1">
      <c r="A51" s="933" t="s">
        <v>269</v>
      </c>
      <c r="B51" s="421">
        <f>'Fejlesztési kiadások'!E61</f>
        <v>1582</v>
      </c>
      <c r="C51" s="421">
        <v>1582</v>
      </c>
      <c r="D51" s="421">
        <v>1428</v>
      </c>
      <c r="E51" s="421">
        <v>0</v>
      </c>
      <c r="F51" s="421">
        <v>0</v>
      </c>
      <c r="G51" s="421">
        <v>0</v>
      </c>
      <c r="H51" s="421">
        <f>B51+E51</f>
        <v>1582</v>
      </c>
      <c r="I51" s="385">
        <v>1582</v>
      </c>
      <c r="J51" s="421">
        <v>1428</v>
      </c>
      <c r="K51" s="2056">
        <f t="shared" si="2"/>
        <v>0.9026548672566371</v>
      </c>
      <c r="N51" s="144" t="s">
        <v>1614</v>
      </c>
      <c r="O51" s="144" t="s">
        <v>1615</v>
      </c>
      <c r="P51" s="423" t="s">
        <v>1402</v>
      </c>
    </row>
    <row r="52" spans="1:16" ht="27" customHeight="1">
      <c r="A52" s="933" t="s">
        <v>270</v>
      </c>
      <c r="B52" s="421">
        <v>0</v>
      </c>
      <c r="C52" s="421">
        <v>0</v>
      </c>
      <c r="D52" s="421">
        <v>0</v>
      </c>
      <c r="E52" s="421">
        <v>0</v>
      </c>
      <c r="F52" s="421">
        <v>0</v>
      </c>
      <c r="G52" s="421">
        <v>468</v>
      </c>
      <c r="H52" s="421">
        <v>0</v>
      </c>
      <c r="I52" s="421">
        <v>0</v>
      </c>
      <c r="J52" s="421">
        <v>468</v>
      </c>
      <c r="K52" s="2056">
        <v>0</v>
      </c>
      <c r="N52" s="2073"/>
      <c r="O52" s="2073"/>
      <c r="P52" s="423"/>
    </row>
    <row r="53" spans="1:16" ht="27" customHeight="1">
      <c r="A53" s="933" t="s">
        <v>271</v>
      </c>
      <c r="B53" s="421">
        <v>0</v>
      </c>
      <c r="C53" s="421">
        <v>0</v>
      </c>
      <c r="D53" s="421">
        <v>0</v>
      </c>
      <c r="E53" s="421">
        <v>0</v>
      </c>
      <c r="F53" s="421">
        <v>0</v>
      </c>
      <c r="G53" s="421">
        <v>3115</v>
      </c>
      <c r="H53" s="421">
        <v>0</v>
      </c>
      <c r="I53" s="421">
        <v>0</v>
      </c>
      <c r="J53" s="421">
        <v>3115</v>
      </c>
      <c r="K53" s="2056">
        <v>0</v>
      </c>
      <c r="N53" s="2073"/>
      <c r="O53" s="2073"/>
      <c r="P53" s="423"/>
    </row>
    <row r="54" spans="1:12" ht="37.5" customHeight="1">
      <c r="A54" s="937" t="s">
        <v>392</v>
      </c>
      <c r="B54" s="385">
        <v>0</v>
      </c>
      <c r="C54" s="385">
        <v>0</v>
      </c>
      <c r="D54" s="385">
        <v>0</v>
      </c>
      <c r="E54" s="385">
        <v>0</v>
      </c>
      <c r="F54" s="385">
        <v>0</v>
      </c>
      <c r="G54" s="385">
        <v>0</v>
      </c>
      <c r="H54" s="385">
        <v>0</v>
      </c>
      <c r="I54" s="385">
        <v>0</v>
      </c>
      <c r="J54" s="387">
        <v>0</v>
      </c>
      <c r="K54" s="2056">
        <v>0</v>
      </c>
      <c r="L54" s="423"/>
    </row>
    <row r="55" spans="1:12" ht="27" customHeight="1">
      <c r="A55" s="925" t="s">
        <v>554</v>
      </c>
      <c r="B55" s="2009">
        <f>B56</f>
        <v>21760.9002</v>
      </c>
      <c r="C55" s="2009">
        <f>C56</f>
        <v>21761</v>
      </c>
      <c r="D55" s="2009">
        <f>D56</f>
        <v>0</v>
      </c>
      <c r="E55" s="2009">
        <f>E56</f>
        <v>0</v>
      </c>
      <c r="F55" s="2009">
        <v>0</v>
      </c>
      <c r="G55" s="2009">
        <v>0</v>
      </c>
      <c r="H55" s="2009">
        <f>B55+E55</f>
        <v>21760.9002</v>
      </c>
      <c r="I55" s="2009">
        <f>C55+F55</f>
        <v>21761</v>
      </c>
      <c r="J55" s="2009">
        <f>D55+G55</f>
        <v>0</v>
      </c>
      <c r="K55" s="2056">
        <f t="shared" si="2"/>
        <v>0</v>
      </c>
      <c r="L55" s="109"/>
    </row>
    <row r="56" spans="1:12" ht="27" customHeight="1">
      <c r="A56" s="344" t="s">
        <v>1619</v>
      </c>
      <c r="B56" s="261">
        <f>'Fejlesztési kiadások'!E108+'Fejlesztési kiadások'!E109+6786</f>
        <v>21760.9002</v>
      </c>
      <c r="C56" s="261">
        <v>21761</v>
      </c>
      <c r="D56" s="261">
        <v>0</v>
      </c>
      <c r="E56" s="261">
        <v>0</v>
      </c>
      <c r="F56" s="261">
        <v>0</v>
      </c>
      <c r="G56" s="261">
        <v>0</v>
      </c>
      <c r="H56" s="380">
        <f>B56+E56</f>
        <v>21760.9002</v>
      </c>
      <c r="I56" s="380">
        <v>21761</v>
      </c>
      <c r="J56" s="261">
        <v>0</v>
      </c>
      <c r="K56" s="2056">
        <f t="shared" si="2"/>
        <v>0</v>
      </c>
      <c r="L56" s="109"/>
    </row>
    <row r="57" spans="1:12" ht="27" customHeight="1">
      <c r="A57" s="925" t="s">
        <v>394</v>
      </c>
      <c r="B57" s="2009">
        <f>B58</f>
        <v>53093.65</v>
      </c>
      <c r="C57" s="2009">
        <f>C58</f>
        <v>53094</v>
      </c>
      <c r="D57" s="2009">
        <v>0</v>
      </c>
      <c r="E57" s="2009">
        <v>0</v>
      </c>
      <c r="F57" s="2009">
        <v>0</v>
      </c>
      <c r="G57" s="2009">
        <v>0</v>
      </c>
      <c r="H57" s="2009">
        <f>B57+E57</f>
        <v>53093.65</v>
      </c>
      <c r="I57" s="2009">
        <f>C57+F57</f>
        <v>53094</v>
      </c>
      <c r="J57" s="2009">
        <v>0</v>
      </c>
      <c r="K57" s="2056">
        <f t="shared" si="2"/>
        <v>0</v>
      </c>
      <c r="L57" s="109"/>
    </row>
    <row r="58" spans="1:12" ht="27" customHeight="1">
      <c r="A58" s="344" t="s">
        <v>1621</v>
      </c>
      <c r="B58" s="261">
        <f>'Fejlesztési kiadások'!E114+'Fejlesztési kiadások'!E115+30748</f>
        <v>53093.65</v>
      </c>
      <c r="C58" s="261">
        <v>53094</v>
      </c>
      <c r="D58" s="261">
        <v>0</v>
      </c>
      <c r="E58" s="261">
        <v>0</v>
      </c>
      <c r="F58" s="261">
        <v>0</v>
      </c>
      <c r="G58" s="261">
        <v>0</v>
      </c>
      <c r="H58" s="380">
        <f>B58+E58</f>
        <v>53093.65</v>
      </c>
      <c r="I58" s="380">
        <v>53094</v>
      </c>
      <c r="J58" s="261">
        <v>0</v>
      </c>
      <c r="K58" s="2056">
        <f t="shared" si="2"/>
        <v>0</v>
      </c>
      <c r="L58" s="109"/>
    </row>
    <row r="59" spans="1:11" ht="37.5" customHeight="1">
      <c r="A59" s="937" t="s">
        <v>395</v>
      </c>
      <c r="B59" s="2009">
        <f>B60</f>
        <v>4050</v>
      </c>
      <c r="C59" s="2009">
        <f>C60</f>
        <v>4050</v>
      </c>
      <c r="D59" s="380">
        <v>0</v>
      </c>
      <c r="E59" s="380">
        <v>0</v>
      </c>
      <c r="F59" s="380">
        <v>0</v>
      </c>
      <c r="G59" s="380">
        <v>0</v>
      </c>
      <c r="H59" s="2009">
        <f>B59+E59</f>
        <v>4050</v>
      </c>
      <c r="I59" s="2009">
        <f>C59+F59</f>
        <v>4050</v>
      </c>
      <c r="J59" s="2009">
        <f>J60</f>
        <v>520</v>
      </c>
      <c r="K59" s="2056">
        <f t="shared" si="2"/>
        <v>0.12839506172839507</v>
      </c>
    </row>
    <row r="60" spans="1:11" ht="27" customHeight="1">
      <c r="A60" s="344" t="s">
        <v>1007</v>
      </c>
      <c r="B60" s="261">
        <v>4050</v>
      </c>
      <c r="C60" s="261">
        <v>4050</v>
      </c>
      <c r="D60" s="261">
        <v>0</v>
      </c>
      <c r="E60" s="261">
        <v>0</v>
      </c>
      <c r="F60" s="261">
        <v>0</v>
      </c>
      <c r="G60" s="261">
        <v>0</v>
      </c>
      <c r="H60" s="261">
        <f>B60+E60</f>
        <v>4050</v>
      </c>
      <c r="I60" s="261">
        <v>4050</v>
      </c>
      <c r="J60" s="261">
        <v>520</v>
      </c>
      <c r="K60" s="2056">
        <f t="shared" si="2"/>
        <v>0.12839506172839507</v>
      </c>
    </row>
    <row r="61" spans="1:17" ht="27" customHeight="1">
      <c r="A61" s="143" t="s">
        <v>553</v>
      </c>
      <c r="B61" s="387">
        <f aca="true" t="shared" si="8" ref="B61:J61">B73+B75</f>
        <v>80034.49366666666</v>
      </c>
      <c r="C61" s="387">
        <f t="shared" si="8"/>
        <v>80034</v>
      </c>
      <c r="D61" s="387">
        <f t="shared" si="8"/>
        <v>16632</v>
      </c>
      <c r="E61" s="387">
        <f t="shared" si="8"/>
        <v>0</v>
      </c>
      <c r="F61" s="387">
        <f t="shared" si="8"/>
        <v>0</v>
      </c>
      <c r="G61" s="387">
        <f t="shared" si="8"/>
        <v>58390</v>
      </c>
      <c r="H61" s="387">
        <f t="shared" si="8"/>
        <v>80034.49366666666</v>
      </c>
      <c r="I61" s="387">
        <f t="shared" si="8"/>
        <v>80034</v>
      </c>
      <c r="J61" s="387">
        <f t="shared" si="8"/>
        <v>75022</v>
      </c>
      <c r="K61" s="2056">
        <f t="shared" si="2"/>
        <v>0.9373766149386511</v>
      </c>
      <c r="N61" s="144" t="s">
        <v>1614</v>
      </c>
      <c r="O61" s="144" t="s">
        <v>1615</v>
      </c>
      <c r="P61" s="445" t="s">
        <v>1085</v>
      </c>
      <c r="Q61" s="106" t="s">
        <v>1305</v>
      </c>
    </row>
    <row r="62" spans="1:17" ht="33" customHeight="1">
      <c r="A62" s="414" t="s">
        <v>1616</v>
      </c>
      <c r="B62" s="421">
        <f>'Fejlesztési kiadások'!E68+'Fejlesztési kiadások'!E81</f>
        <v>5894.041</v>
      </c>
      <c r="C62" s="421">
        <v>5894</v>
      </c>
      <c r="D62" s="421">
        <v>2107</v>
      </c>
      <c r="E62" s="421">
        <v>0</v>
      </c>
      <c r="F62" s="421">
        <v>0</v>
      </c>
      <c r="G62" s="421">
        <v>0</v>
      </c>
      <c r="H62" s="421">
        <f>B62</f>
        <v>5894.041</v>
      </c>
      <c r="I62" s="421">
        <v>5894</v>
      </c>
      <c r="J62" s="421">
        <v>2107</v>
      </c>
      <c r="K62" s="2056">
        <f t="shared" si="2"/>
        <v>0.35748218527315917</v>
      </c>
      <c r="N62" s="144">
        <v>2112</v>
      </c>
      <c r="O62" s="144">
        <f>33366*0.068</f>
        <v>2268.8880000000004</v>
      </c>
      <c r="P62" s="260">
        <f aca="true" t="shared" si="9" ref="P62:P69">N62+O62</f>
        <v>4380.888000000001</v>
      </c>
      <c r="Q62" s="344" t="s">
        <v>444</v>
      </c>
    </row>
    <row r="63" spans="1:17" ht="27" customHeight="1">
      <c r="A63" s="345" t="s">
        <v>1617</v>
      </c>
      <c r="B63" s="421">
        <f>'Fejlesztési kiadások'!E69+'Fejlesztési kiadások'!E82</f>
        <v>14394.19</v>
      </c>
      <c r="C63" s="421">
        <v>14394</v>
      </c>
      <c r="D63" s="421">
        <v>6456</v>
      </c>
      <c r="E63" s="421">
        <v>0</v>
      </c>
      <c r="F63" s="421">
        <v>0</v>
      </c>
      <c r="G63" s="421">
        <v>0</v>
      </c>
      <c r="H63" s="421">
        <f aca="true" t="shared" si="10" ref="H63:H72">B63</f>
        <v>14394.19</v>
      </c>
      <c r="I63" s="421">
        <v>14394</v>
      </c>
      <c r="J63" s="421">
        <v>6456</v>
      </c>
      <c r="K63" s="2056">
        <f t="shared" si="2"/>
        <v>0.44852021675698206</v>
      </c>
      <c r="N63" s="144">
        <v>6456</v>
      </c>
      <c r="O63" s="144">
        <f>76396*0.0653</f>
        <v>4988.6588</v>
      </c>
      <c r="P63" s="260">
        <f t="shared" si="9"/>
        <v>11444.658800000001</v>
      </c>
      <c r="Q63" s="448" t="s">
        <v>445</v>
      </c>
    </row>
    <row r="64" spans="1:17" ht="33" customHeight="1">
      <c r="A64" s="345" t="s">
        <v>1618</v>
      </c>
      <c r="B64" s="421">
        <f>'Fejlesztési kiadások'!E70+'Fejlesztési kiadások'!E83</f>
        <v>1725.8600000000001</v>
      </c>
      <c r="C64" s="421">
        <v>1726</v>
      </c>
      <c r="D64" s="421">
        <v>1040</v>
      </c>
      <c r="E64" s="421">
        <v>0</v>
      </c>
      <c r="F64" s="421">
        <v>0</v>
      </c>
      <c r="G64" s="421">
        <v>0</v>
      </c>
      <c r="H64" s="421">
        <f t="shared" si="10"/>
        <v>1725.8600000000001</v>
      </c>
      <c r="I64" s="421">
        <v>1726</v>
      </c>
      <c r="J64" s="421">
        <v>1040</v>
      </c>
      <c r="K64" s="2056">
        <f t="shared" si="2"/>
        <v>0.6025492468134415</v>
      </c>
      <c r="N64" s="144">
        <v>1040</v>
      </c>
      <c r="O64" s="144">
        <f>12470*0.1</f>
        <v>1247</v>
      </c>
      <c r="P64" s="260">
        <f t="shared" si="9"/>
        <v>2287</v>
      </c>
      <c r="Q64" s="344" t="s">
        <v>446</v>
      </c>
    </row>
    <row r="65" spans="1:18" ht="27" customHeight="1">
      <c r="A65" s="345" t="s">
        <v>2152</v>
      </c>
      <c r="B65" s="421">
        <f>'Fejlesztési kiadások'!E72+'Fejlesztési kiadások'!E85</f>
        <v>890.928</v>
      </c>
      <c r="C65" s="421">
        <v>891</v>
      </c>
      <c r="D65" s="421">
        <v>807</v>
      </c>
      <c r="E65" s="421">
        <v>0</v>
      </c>
      <c r="F65" s="421">
        <v>0</v>
      </c>
      <c r="G65" s="421">
        <v>0</v>
      </c>
      <c r="H65" s="421">
        <f t="shared" si="10"/>
        <v>890.928</v>
      </c>
      <c r="I65" s="421">
        <v>891</v>
      </c>
      <c r="J65" s="421">
        <v>807</v>
      </c>
      <c r="K65" s="2056">
        <f t="shared" si="2"/>
        <v>0.9057239057239057</v>
      </c>
      <c r="N65" s="144">
        <v>808</v>
      </c>
      <c r="O65" s="144">
        <f>2420*0.087</f>
        <v>210.54</v>
      </c>
      <c r="P65" s="260">
        <f t="shared" si="9"/>
        <v>1018.54</v>
      </c>
      <c r="Q65" s="448" t="s">
        <v>1627</v>
      </c>
      <c r="R65" s="423"/>
    </row>
    <row r="66" spans="1:18" ht="27" customHeight="1">
      <c r="A66" s="345" t="s">
        <v>2153</v>
      </c>
      <c r="B66" s="421">
        <f>'Fejlesztési kiadások'!E73+'Fejlesztési kiadások'!E86</f>
        <v>162.552</v>
      </c>
      <c r="C66" s="421">
        <v>163</v>
      </c>
      <c r="D66" s="421">
        <v>156</v>
      </c>
      <c r="E66" s="421">
        <v>0</v>
      </c>
      <c r="F66" s="421">
        <v>0</v>
      </c>
      <c r="G66" s="421">
        <v>0</v>
      </c>
      <c r="H66" s="421">
        <f t="shared" si="10"/>
        <v>162.552</v>
      </c>
      <c r="I66" s="421">
        <v>163</v>
      </c>
      <c r="J66" s="421">
        <v>156</v>
      </c>
      <c r="K66" s="2056">
        <f t="shared" si="2"/>
        <v>0.9570552147239264</v>
      </c>
      <c r="N66" s="144">
        <v>368</v>
      </c>
      <c r="O66" s="144">
        <f>524*0.087</f>
        <v>45.587999999999994</v>
      </c>
      <c r="P66" s="260">
        <f t="shared" si="9"/>
        <v>413.58799999999997</v>
      </c>
      <c r="Q66" s="448" t="s">
        <v>1627</v>
      </c>
      <c r="R66" s="423"/>
    </row>
    <row r="67" spans="1:18" ht="31.5" customHeight="1">
      <c r="A67" s="345" t="s">
        <v>2154</v>
      </c>
      <c r="B67" s="421">
        <f>'Fejlesztési kiadások'!E74+'Fejlesztési kiadások'!E87</f>
        <v>1621.9279999999999</v>
      </c>
      <c r="C67" s="421">
        <v>1622</v>
      </c>
      <c r="D67" s="421">
        <v>1496</v>
      </c>
      <c r="E67" s="421">
        <v>0</v>
      </c>
      <c r="F67" s="421">
        <v>0</v>
      </c>
      <c r="G67" s="421">
        <v>0</v>
      </c>
      <c r="H67" s="421">
        <f t="shared" si="10"/>
        <v>1621.9279999999999</v>
      </c>
      <c r="I67" s="421">
        <v>1622</v>
      </c>
      <c r="J67" s="421">
        <v>1496</v>
      </c>
      <c r="K67" s="2056">
        <f t="shared" si="2"/>
        <v>0.9223181257706535</v>
      </c>
      <c r="N67" s="144">
        <v>1496</v>
      </c>
      <c r="O67" s="144">
        <f>4357*0.087</f>
        <v>379.05899999999997</v>
      </c>
      <c r="P67" s="260">
        <f t="shared" si="9"/>
        <v>1875.059</v>
      </c>
      <c r="Q67" s="448" t="s">
        <v>1627</v>
      </c>
      <c r="R67" s="423"/>
    </row>
    <row r="68" spans="1:18" ht="27" customHeight="1">
      <c r="A68" s="345" t="s">
        <v>2155</v>
      </c>
      <c r="B68" s="421">
        <f>'Fejlesztési kiadások'!E75+'Fejlesztési kiadások'!E88</f>
        <v>3603.172</v>
      </c>
      <c r="C68" s="421">
        <v>3603</v>
      </c>
      <c r="D68" s="421">
        <v>3004</v>
      </c>
      <c r="E68" s="421">
        <v>0</v>
      </c>
      <c r="F68" s="421">
        <v>0</v>
      </c>
      <c r="G68" s="421">
        <v>0</v>
      </c>
      <c r="H68" s="421">
        <f t="shared" si="10"/>
        <v>3603.172</v>
      </c>
      <c r="I68" s="421">
        <v>3603</v>
      </c>
      <c r="J68" s="421">
        <v>3004</v>
      </c>
      <c r="K68" s="2056">
        <f t="shared" si="2"/>
        <v>0.8337496530668888</v>
      </c>
      <c r="N68" s="144">
        <v>1502</v>
      </c>
      <c r="O68" s="144">
        <f>15768*0.085</f>
        <v>1340.2800000000002</v>
      </c>
      <c r="P68" s="260">
        <f t="shared" si="9"/>
        <v>2842.28</v>
      </c>
      <c r="Q68" s="448" t="s">
        <v>1628</v>
      </c>
      <c r="R68" s="423"/>
    </row>
    <row r="69" spans="1:18" ht="25.5" customHeight="1">
      <c r="A69" s="345" t="s">
        <v>2156</v>
      </c>
      <c r="B69" s="421">
        <f>'Fejlesztési kiadások'!E89+'Fejlesztési kiadások'!E76</f>
        <v>1109.328</v>
      </c>
      <c r="C69" s="421">
        <v>1109</v>
      </c>
      <c r="D69" s="421">
        <v>384</v>
      </c>
      <c r="E69" s="421">
        <v>0</v>
      </c>
      <c r="F69" s="421">
        <v>0</v>
      </c>
      <c r="G69" s="421">
        <v>0</v>
      </c>
      <c r="H69" s="421">
        <f t="shared" si="10"/>
        <v>1109.328</v>
      </c>
      <c r="I69" s="421">
        <v>1109</v>
      </c>
      <c r="J69" s="421">
        <v>384</v>
      </c>
      <c r="K69" s="2056">
        <f t="shared" si="2"/>
        <v>0.3462578899909829</v>
      </c>
      <c r="N69" s="144">
        <v>642</v>
      </c>
      <c r="O69" s="144">
        <f>5706*0.095</f>
        <v>542.07</v>
      </c>
      <c r="P69" s="260">
        <f t="shared" si="9"/>
        <v>1184.0700000000002</v>
      </c>
      <c r="Q69" s="448" t="s">
        <v>1629</v>
      </c>
      <c r="R69" s="423"/>
    </row>
    <row r="70" spans="1:18" ht="23.25" customHeight="1">
      <c r="A70" s="345" t="s">
        <v>2157</v>
      </c>
      <c r="B70" s="421">
        <f>'Fejlesztési kiadások'!E77+'Fejlesztési kiadások'!E90</f>
        <v>440.832</v>
      </c>
      <c r="C70" s="421">
        <v>441</v>
      </c>
      <c r="D70" s="421">
        <v>336</v>
      </c>
      <c r="E70" s="421">
        <v>0</v>
      </c>
      <c r="F70" s="421">
        <v>0</v>
      </c>
      <c r="G70" s="421">
        <v>0</v>
      </c>
      <c r="H70" s="421">
        <f t="shared" si="10"/>
        <v>440.832</v>
      </c>
      <c r="I70" s="421">
        <v>441</v>
      </c>
      <c r="J70" s="421">
        <v>336</v>
      </c>
      <c r="K70" s="2056">
        <f t="shared" si="2"/>
        <v>0.7619047619047619</v>
      </c>
      <c r="N70" s="144"/>
      <c r="O70" s="144"/>
      <c r="P70" s="260"/>
      <c r="Q70" s="448"/>
      <c r="R70" s="423"/>
    </row>
    <row r="71" spans="1:18" ht="39.75" customHeight="1">
      <c r="A71" s="2075" t="s">
        <v>2170</v>
      </c>
      <c r="B71" s="421">
        <f>'Fejlesztési kiadások'!E84+'Fejlesztési kiadások'!E71</f>
        <v>692.516</v>
      </c>
      <c r="C71" s="421">
        <v>693</v>
      </c>
      <c r="D71" s="421">
        <v>846</v>
      </c>
      <c r="E71" s="421">
        <v>0</v>
      </c>
      <c r="F71" s="421">
        <v>0</v>
      </c>
      <c r="G71" s="421">
        <v>0</v>
      </c>
      <c r="H71" s="421">
        <f t="shared" si="10"/>
        <v>692.516</v>
      </c>
      <c r="I71" s="421">
        <v>693</v>
      </c>
      <c r="J71" s="421">
        <v>846</v>
      </c>
      <c r="K71" s="2056">
        <f t="shared" si="2"/>
        <v>1.2207792207792207</v>
      </c>
      <c r="N71" s="144"/>
      <c r="O71" s="144"/>
      <c r="P71" s="260"/>
      <c r="Q71" s="448"/>
      <c r="R71" s="423"/>
    </row>
    <row r="72" spans="1:18" ht="36" customHeight="1">
      <c r="A72" s="1433" t="s">
        <v>2158</v>
      </c>
      <c r="B72" s="421">
        <f>'Fejlesztési kiadások'!E78+'Fejlesztési kiadások'!E91</f>
        <v>49499.14666666667</v>
      </c>
      <c r="C72" s="421">
        <v>49499</v>
      </c>
      <c r="D72" s="421">
        <v>0</v>
      </c>
      <c r="E72" s="421">
        <v>0</v>
      </c>
      <c r="F72" s="421">
        <v>0</v>
      </c>
      <c r="G72" s="421">
        <f>42800+15590</f>
        <v>58390</v>
      </c>
      <c r="H72" s="421">
        <f t="shared" si="10"/>
        <v>49499.14666666667</v>
      </c>
      <c r="I72" s="421">
        <v>49499</v>
      </c>
      <c r="J72" s="421">
        <f>42800+15590</f>
        <v>58390</v>
      </c>
      <c r="K72" s="2056">
        <f t="shared" si="2"/>
        <v>1.179619790298794</v>
      </c>
      <c r="N72" s="144"/>
      <c r="O72" s="144"/>
      <c r="P72" s="260"/>
      <c r="Q72" s="448"/>
      <c r="R72" s="423"/>
    </row>
    <row r="73" spans="1:17" s="30" customFormat="1" ht="21.75" customHeight="1">
      <c r="A73" s="447" t="s">
        <v>1008</v>
      </c>
      <c r="B73" s="2007">
        <f>SUM(B62:B72)</f>
        <v>80034.49366666666</v>
      </c>
      <c r="C73" s="2007">
        <f>SUM(C62:C72)-1</f>
        <v>80034</v>
      </c>
      <c r="D73" s="2007">
        <f>SUM(D62:D72)</f>
        <v>16632</v>
      </c>
      <c r="E73" s="2007">
        <f>SUM(E62:E72)</f>
        <v>0</v>
      </c>
      <c r="F73" s="2007">
        <f>SUM(F62:F72)</f>
        <v>0</v>
      </c>
      <c r="G73" s="2007">
        <f>SUM(G62:G72)</f>
        <v>58390</v>
      </c>
      <c r="H73" s="2007">
        <f>SUM(H62:H72)</f>
        <v>80034.49366666666</v>
      </c>
      <c r="I73" s="2007">
        <f>SUM(I62:I72)-1</f>
        <v>80034</v>
      </c>
      <c r="J73" s="387">
        <f>SUM(J62:J72)</f>
        <v>75022</v>
      </c>
      <c r="K73" s="2056">
        <f t="shared" si="2"/>
        <v>0.9373766149386511</v>
      </c>
      <c r="N73" s="144">
        <f>SUM(N62:N71)</f>
        <v>14424</v>
      </c>
      <c r="O73" s="144">
        <f>SUM(O62:O71)</f>
        <v>11022.0838</v>
      </c>
      <c r="P73" s="386">
        <f>SUM(P62:P71)</f>
        <v>25446.083800000004</v>
      </c>
      <c r="Q73" s="373"/>
    </row>
    <row r="74" spans="1:17" ht="21" customHeight="1">
      <c r="A74" s="344"/>
      <c r="B74" s="425">
        <v>0</v>
      </c>
      <c r="C74" s="425">
        <v>0</v>
      </c>
      <c r="D74" s="425">
        <v>0</v>
      </c>
      <c r="E74" s="425">
        <v>0</v>
      </c>
      <c r="F74" s="425">
        <v>0</v>
      </c>
      <c r="G74" s="425">
        <v>0</v>
      </c>
      <c r="H74" s="425">
        <f>B74</f>
        <v>0</v>
      </c>
      <c r="I74" s="425">
        <v>0</v>
      </c>
      <c r="J74" s="387">
        <v>0</v>
      </c>
      <c r="K74" s="2056">
        <v>0</v>
      </c>
      <c r="N74" s="144">
        <v>32700</v>
      </c>
      <c r="O74" s="144">
        <f>+N74*0.0925</f>
        <v>3024.75</v>
      </c>
      <c r="P74" s="425">
        <f>N74+O74</f>
        <v>35724.75</v>
      </c>
      <c r="Q74" s="448" t="s">
        <v>1288</v>
      </c>
    </row>
    <row r="75" spans="1:17" s="30" customFormat="1" ht="32.25" customHeight="1">
      <c r="A75" s="459" t="s">
        <v>2151</v>
      </c>
      <c r="B75" s="386">
        <f>+B74</f>
        <v>0</v>
      </c>
      <c r="C75" s="386">
        <v>0</v>
      </c>
      <c r="D75" s="386">
        <v>0</v>
      </c>
      <c r="E75" s="386">
        <v>0</v>
      </c>
      <c r="F75" s="386">
        <v>0</v>
      </c>
      <c r="G75" s="386">
        <v>0</v>
      </c>
      <c r="H75" s="386">
        <f>B75</f>
        <v>0</v>
      </c>
      <c r="I75" s="386">
        <v>0</v>
      </c>
      <c r="J75" s="387">
        <v>0</v>
      </c>
      <c r="K75" s="2056">
        <v>0</v>
      </c>
      <c r="N75" s="144">
        <f>+N74</f>
        <v>32700</v>
      </c>
      <c r="O75" s="144">
        <f>+O74</f>
        <v>3024.75</v>
      </c>
      <c r="P75" s="386">
        <f>+P74</f>
        <v>35724.75</v>
      </c>
      <c r="Q75" s="373"/>
    </row>
    <row r="76" spans="1:15" ht="27" customHeight="1">
      <c r="A76" s="373" t="s">
        <v>393</v>
      </c>
      <c r="B76" s="259">
        <f>H76-E76</f>
        <v>34098</v>
      </c>
      <c r="C76" s="259">
        <v>34098</v>
      </c>
      <c r="D76" s="259">
        <v>0</v>
      </c>
      <c r="E76" s="373">
        <v>0</v>
      </c>
      <c r="F76" s="373">
        <v>0</v>
      </c>
      <c r="G76" s="373">
        <v>0</v>
      </c>
      <c r="H76" s="259">
        <f>SUM(H77:H78)</f>
        <v>34098</v>
      </c>
      <c r="I76" s="259">
        <f>SUM(I77:I78)</f>
        <v>30847</v>
      </c>
      <c r="J76" s="387">
        <f>SUM(J77:J78)</f>
        <v>0</v>
      </c>
      <c r="K76" s="2056">
        <f t="shared" si="2"/>
        <v>0</v>
      </c>
      <c r="N76" s="144"/>
      <c r="O76" s="144"/>
    </row>
    <row r="77" spans="1:15" ht="23.25" customHeight="1">
      <c r="A77" s="344" t="s">
        <v>1748</v>
      </c>
      <c r="B77" s="276">
        <v>0</v>
      </c>
      <c r="C77" s="276">
        <v>0</v>
      </c>
      <c r="D77" s="276">
        <v>0</v>
      </c>
      <c r="E77" s="344">
        <v>0</v>
      </c>
      <c r="F77" s="344">
        <v>0</v>
      </c>
      <c r="G77" s="344">
        <v>0</v>
      </c>
      <c r="H77" s="260">
        <f>5m!B16</f>
        <v>33998</v>
      </c>
      <c r="I77" s="260">
        <f>33998-3251</f>
        <v>30747</v>
      </c>
      <c r="J77" s="387">
        <v>0</v>
      </c>
      <c r="K77" s="2056">
        <f t="shared" si="2"/>
        <v>0</v>
      </c>
      <c r="N77" s="144"/>
      <c r="O77" s="144"/>
    </row>
    <row r="78" spans="1:15" ht="24" customHeight="1">
      <c r="A78" s="345" t="s">
        <v>1749</v>
      </c>
      <c r="B78" s="276">
        <v>0</v>
      </c>
      <c r="C78" s="276">
        <v>0</v>
      </c>
      <c r="D78" s="276">
        <v>0</v>
      </c>
      <c r="E78" s="344">
        <v>0</v>
      </c>
      <c r="F78" s="344">
        <v>0</v>
      </c>
      <c r="G78" s="344">
        <v>0</v>
      </c>
      <c r="H78" s="260">
        <f>5m!B20</f>
        <v>100</v>
      </c>
      <c r="I78" s="260">
        <v>100</v>
      </c>
      <c r="J78" s="387">
        <v>0</v>
      </c>
      <c r="K78" s="2056">
        <f t="shared" si="2"/>
        <v>0</v>
      </c>
      <c r="N78" s="144"/>
      <c r="O78" s="144"/>
    </row>
    <row r="79" spans="1:16" ht="27" customHeight="1">
      <c r="A79" s="373" t="s">
        <v>1623</v>
      </c>
      <c r="B79" s="259">
        <f aca="true" t="shared" si="11" ref="B79:J79">+B8+B28+B46+B61+B76</f>
        <v>263798.8166145932</v>
      </c>
      <c r="C79" s="259">
        <f t="shared" si="11"/>
        <v>267050</v>
      </c>
      <c r="D79" s="259">
        <f t="shared" si="11"/>
        <v>75555</v>
      </c>
      <c r="E79" s="259">
        <f t="shared" si="11"/>
        <v>998708.1539187402</v>
      </c>
      <c r="F79" s="259">
        <f t="shared" si="11"/>
        <v>998708</v>
      </c>
      <c r="G79" s="259">
        <f t="shared" si="11"/>
        <v>116805</v>
      </c>
      <c r="H79" s="259">
        <f t="shared" si="11"/>
        <v>1214507.8238666665</v>
      </c>
      <c r="I79" s="259">
        <f t="shared" si="11"/>
        <v>1214508</v>
      </c>
      <c r="J79" s="259">
        <f t="shared" si="11"/>
        <v>192360</v>
      </c>
      <c r="K79" s="2056">
        <f t="shared" si="2"/>
        <v>0.1583851238526218</v>
      </c>
      <c r="N79" s="144"/>
      <c r="O79" s="144"/>
      <c r="P79" s="105">
        <f>+H79-H76</f>
        <v>1180409.8238666665</v>
      </c>
    </row>
    <row r="80" spans="1:9" ht="27" customHeight="1">
      <c r="A80" s="98" t="s">
        <v>1770</v>
      </c>
      <c r="H80" s="109">
        <f>4am!B62-4bm!H79</f>
        <v>0.3453276641666889</v>
      </c>
      <c r="I80" s="109"/>
    </row>
    <row r="81" spans="8:9" ht="27" customHeight="1">
      <c r="H81" s="108"/>
      <c r="I81" s="108"/>
    </row>
    <row r="82" spans="8:9" ht="27" customHeight="1">
      <c r="H82" s="109"/>
      <c r="I82" s="109"/>
    </row>
    <row r="83" spans="8:9" ht="27" customHeight="1">
      <c r="H83" s="108"/>
      <c r="I83" s="108"/>
    </row>
    <row r="84" spans="8:9" ht="27" customHeight="1">
      <c r="H84" s="108"/>
      <c r="I84" s="108"/>
    </row>
    <row r="85" spans="8:9" ht="27" customHeight="1">
      <c r="H85" s="108"/>
      <c r="I85" s="108"/>
    </row>
    <row r="86" spans="8:9" ht="27" customHeight="1">
      <c r="H86" s="108"/>
      <c r="I86" s="108"/>
    </row>
    <row r="87" spans="8:9" ht="27" customHeight="1">
      <c r="H87" s="108"/>
      <c r="I87" s="108"/>
    </row>
    <row r="88" spans="8:9" ht="27" customHeight="1">
      <c r="H88" s="108"/>
      <c r="I88" s="108"/>
    </row>
    <row r="89" spans="8:9" ht="27" customHeight="1">
      <c r="H89" s="108"/>
      <c r="I89" s="108"/>
    </row>
    <row r="90" spans="8:9" ht="27" customHeight="1">
      <c r="H90" s="108"/>
      <c r="I90" s="108"/>
    </row>
    <row r="91" spans="8:9" ht="27" customHeight="1">
      <c r="H91" s="108"/>
      <c r="I91" s="108"/>
    </row>
    <row r="92" spans="8:9" ht="27" customHeight="1">
      <c r="H92" s="108"/>
      <c r="I92" s="108"/>
    </row>
    <row r="93" spans="8:9" ht="27" customHeight="1">
      <c r="H93" s="108"/>
      <c r="I93" s="108"/>
    </row>
    <row r="94" spans="8:9" ht="27" customHeight="1">
      <c r="H94" s="108"/>
      <c r="I94" s="108"/>
    </row>
    <row r="95" spans="8:9" ht="27" customHeight="1">
      <c r="H95" s="108"/>
      <c r="I95" s="108"/>
    </row>
    <row r="96" spans="8:9" ht="27" customHeight="1">
      <c r="H96" s="108"/>
      <c r="I96" s="108"/>
    </row>
    <row r="97" spans="8:9" ht="27" customHeight="1">
      <c r="H97" s="108"/>
      <c r="I97" s="108"/>
    </row>
    <row r="98" spans="8:9" ht="27" customHeight="1">
      <c r="H98" s="108"/>
      <c r="I98" s="108"/>
    </row>
    <row r="99" spans="8:9" ht="27" customHeight="1">
      <c r="H99" s="108"/>
      <c r="I99" s="108"/>
    </row>
    <row r="100" spans="8:9" ht="27" customHeight="1">
      <c r="H100" s="108"/>
      <c r="I100" s="108"/>
    </row>
    <row r="101" spans="8:9" ht="27" customHeight="1">
      <c r="H101" s="108"/>
      <c r="I101" s="108"/>
    </row>
    <row r="102" spans="8:9" ht="27" customHeight="1">
      <c r="H102" s="108"/>
      <c r="I102" s="108"/>
    </row>
    <row r="103" spans="8:9" ht="27" customHeight="1">
      <c r="H103" s="108"/>
      <c r="I103" s="108"/>
    </row>
    <row r="104" spans="8:9" ht="27" customHeight="1">
      <c r="H104" s="108"/>
      <c r="I104" s="108"/>
    </row>
    <row r="105" spans="8:9" ht="27" customHeight="1">
      <c r="H105" s="108"/>
      <c r="I105" s="108"/>
    </row>
    <row r="106" spans="8:9" ht="27" customHeight="1">
      <c r="H106" s="108"/>
      <c r="I106" s="108"/>
    </row>
    <row r="107" spans="8:9" ht="27" customHeight="1">
      <c r="H107" s="108"/>
      <c r="I107" s="108"/>
    </row>
    <row r="108" spans="8:9" ht="27" customHeight="1">
      <c r="H108" s="108"/>
      <c r="I108" s="108"/>
    </row>
    <row r="109" spans="8:9" ht="27" customHeight="1">
      <c r="H109" s="108"/>
      <c r="I109" s="108"/>
    </row>
    <row r="110" spans="8:9" ht="27" customHeight="1">
      <c r="H110" s="108"/>
      <c r="I110" s="108"/>
    </row>
    <row r="111" spans="8:9" ht="27" customHeight="1">
      <c r="H111" s="108"/>
      <c r="I111" s="108"/>
    </row>
    <row r="112" spans="8:9" ht="27" customHeight="1">
      <c r="H112" s="108"/>
      <c r="I112" s="108"/>
    </row>
    <row r="113" spans="8:9" ht="27" customHeight="1">
      <c r="H113" s="108"/>
      <c r="I113" s="108"/>
    </row>
    <row r="114" spans="8:9" ht="27" customHeight="1">
      <c r="H114" s="108"/>
      <c r="I114" s="108"/>
    </row>
    <row r="115" spans="8:9" ht="27" customHeight="1">
      <c r="H115" s="108"/>
      <c r="I115" s="108"/>
    </row>
    <row r="116" spans="8:9" ht="27" customHeight="1">
      <c r="H116" s="108"/>
      <c r="I116" s="108"/>
    </row>
    <row r="117" spans="8:9" ht="27" customHeight="1">
      <c r="H117" s="108"/>
      <c r="I117" s="108"/>
    </row>
    <row r="118" spans="8:9" ht="27" customHeight="1">
      <c r="H118" s="108"/>
      <c r="I118" s="108"/>
    </row>
    <row r="119" spans="8:9" ht="27" customHeight="1">
      <c r="H119" s="108"/>
      <c r="I119" s="108"/>
    </row>
    <row r="120" spans="8:9" ht="27" customHeight="1">
      <c r="H120" s="108"/>
      <c r="I120" s="108"/>
    </row>
    <row r="121" spans="8:9" ht="27" customHeight="1">
      <c r="H121" s="108"/>
      <c r="I121" s="108"/>
    </row>
    <row r="122" spans="8:9" ht="27" customHeight="1">
      <c r="H122" s="108"/>
      <c r="I122" s="108"/>
    </row>
    <row r="123" spans="8:9" ht="27" customHeight="1">
      <c r="H123" s="108"/>
      <c r="I123" s="108"/>
    </row>
    <row r="124" spans="8:9" ht="27" customHeight="1">
      <c r="H124" s="108"/>
      <c r="I124" s="108"/>
    </row>
    <row r="125" spans="8:9" ht="27" customHeight="1">
      <c r="H125" s="108"/>
      <c r="I125" s="108"/>
    </row>
    <row r="126" spans="8:9" ht="27" customHeight="1">
      <c r="H126" s="108"/>
      <c r="I126" s="108"/>
    </row>
    <row r="127" spans="8:9" ht="27" customHeight="1">
      <c r="H127" s="108"/>
      <c r="I127" s="108"/>
    </row>
    <row r="128" spans="8:9" ht="27" customHeight="1">
      <c r="H128" s="108"/>
      <c r="I128" s="108"/>
    </row>
    <row r="129" spans="8:9" ht="27" customHeight="1">
      <c r="H129" s="108"/>
      <c r="I129" s="108"/>
    </row>
    <row r="130" spans="8:9" ht="27" customHeight="1">
      <c r="H130" s="108"/>
      <c r="I130" s="108"/>
    </row>
  </sheetData>
  <sheetProtection/>
  <mergeCells count="6">
    <mergeCell ref="E1:H1"/>
    <mergeCell ref="H6:K6"/>
    <mergeCell ref="A2:K2"/>
    <mergeCell ref="A4:K4"/>
    <mergeCell ref="E6:G6"/>
    <mergeCell ref="B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E23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48.7109375" style="0" customWidth="1"/>
    <col min="2" max="2" width="17.8515625" style="0" customWidth="1"/>
    <col min="3" max="3" width="18.00390625" style="0" customWidth="1"/>
    <col min="4" max="4" width="14.7109375" style="0" customWidth="1"/>
    <col min="5" max="5" width="12.140625" style="0" customWidth="1"/>
  </cols>
  <sheetData>
    <row r="1" spans="1:5" ht="12.75">
      <c r="A1" s="24"/>
      <c r="B1" s="2348" t="s">
        <v>1251</v>
      </c>
      <c r="C1" s="2348"/>
      <c r="D1" s="2348"/>
      <c r="E1" s="2348"/>
    </row>
    <row r="2" spans="1:3" ht="12.75">
      <c r="A2" s="24"/>
      <c r="B2" s="24"/>
      <c r="C2" s="9"/>
    </row>
    <row r="3" spans="1:5" ht="12.75">
      <c r="A3" s="2419" t="s">
        <v>1345</v>
      </c>
      <c r="B3" s="2419"/>
      <c r="C3" s="2419"/>
      <c r="D3" s="2419"/>
      <c r="E3" s="2419"/>
    </row>
    <row r="4" spans="1:3" ht="12.75">
      <c r="A4" s="24"/>
      <c r="B4" s="24"/>
      <c r="C4" s="24"/>
    </row>
    <row r="5" spans="1:3" ht="12.75">
      <c r="A5" s="24"/>
      <c r="B5" s="24"/>
      <c r="C5" s="24"/>
    </row>
    <row r="6" spans="1:5" ht="18">
      <c r="A6" s="2337" t="s">
        <v>1624</v>
      </c>
      <c r="B6" s="2337"/>
      <c r="C6" s="2337"/>
      <c r="D6" s="2337"/>
      <c r="E6" s="2337"/>
    </row>
    <row r="7" spans="1:5" ht="18">
      <c r="A7" s="2337" t="s">
        <v>2109</v>
      </c>
      <c r="B7" s="2337"/>
      <c r="C7" s="2337"/>
      <c r="D7" s="2337"/>
      <c r="E7" s="2337"/>
    </row>
    <row r="8" spans="1:3" ht="18.75">
      <c r="A8" s="265"/>
      <c r="B8" s="265"/>
      <c r="C8" s="265"/>
    </row>
    <row r="9" spans="1:3" ht="18.75">
      <c r="A9" s="265"/>
      <c r="B9" s="265"/>
      <c r="C9" s="265"/>
    </row>
    <row r="10" spans="1:3" ht="18.75">
      <c r="A10" s="265"/>
      <c r="B10" s="265"/>
      <c r="C10" s="265"/>
    </row>
    <row r="11" spans="1:3" ht="12.75">
      <c r="A11" s="255"/>
      <c r="B11" s="255"/>
      <c r="C11" s="255"/>
    </row>
    <row r="12" spans="1:3" ht="12.75">
      <c r="A12" s="255"/>
      <c r="B12" s="2327" t="s">
        <v>1371</v>
      </c>
      <c r="C12" s="2327"/>
    </row>
    <row r="13" spans="1:5" ht="31.5">
      <c r="A13" s="267" t="s">
        <v>1432</v>
      </c>
      <c r="B13" s="268" t="s">
        <v>1370</v>
      </c>
      <c r="C13" s="269" t="s">
        <v>1579</v>
      </c>
      <c r="D13" s="269" t="s">
        <v>822</v>
      </c>
      <c r="E13" s="269" t="s">
        <v>1353</v>
      </c>
    </row>
    <row r="14" spans="1:5" ht="15.75">
      <c r="A14" s="270" t="s">
        <v>507</v>
      </c>
      <c r="B14" s="271">
        <f>SUM(B15:B16)</f>
        <v>34098</v>
      </c>
      <c r="C14" s="271">
        <f>SUM(C15:C16)</f>
        <v>30847</v>
      </c>
      <c r="D14" s="271">
        <f>SUM(D15:D16)</f>
        <v>0</v>
      </c>
      <c r="E14" s="2057">
        <f>D14/C14</f>
        <v>0</v>
      </c>
    </row>
    <row r="15" spans="1:5" ht="15.75">
      <c r="A15" s="272" t="s">
        <v>1767</v>
      </c>
      <c r="B15" s="271">
        <v>100</v>
      </c>
      <c r="C15" s="271">
        <v>100</v>
      </c>
      <c r="D15" s="270">
        <v>0</v>
      </c>
      <c r="E15" s="2057">
        <f aca="true" t="shared" si="0" ref="E15:E23">D15/C15</f>
        <v>0</v>
      </c>
    </row>
    <row r="16" spans="1:5" ht="15.75">
      <c r="A16" s="272" t="s">
        <v>1768</v>
      </c>
      <c r="B16" s="271">
        <f>100+32964+934</f>
        <v>33998</v>
      </c>
      <c r="C16" s="271">
        <f>B16-3251</f>
        <v>30747</v>
      </c>
      <c r="D16" s="270">
        <v>0</v>
      </c>
      <c r="E16" s="2057">
        <f t="shared" si="0"/>
        <v>0</v>
      </c>
    </row>
    <row r="17" spans="1:5" ht="15.75">
      <c r="A17" s="2324"/>
      <c r="B17" s="2325"/>
      <c r="C17" s="2326"/>
      <c r="D17" s="269"/>
      <c r="E17" s="2057"/>
    </row>
    <row r="18" spans="1:5" s="25" customFormat="1" ht="15.75">
      <c r="A18" s="274" t="s">
        <v>509</v>
      </c>
      <c r="B18" s="271">
        <f>B19+B20</f>
        <v>200</v>
      </c>
      <c r="C18" s="271">
        <f>C19+C20</f>
        <v>200</v>
      </c>
      <c r="D18" s="271">
        <f>D19+D20</f>
        <v>0</v>
      </c>
      <c r="E18" s="2057">
        <f t="shared" si="0"/>
        <v>0</v>
      </c>
    </row>
    <row r="19" spans="1:5" s="25" customFormat="1" ht="15.75">
      <c r="A19" s="359" t="s">
        <v>1769</v>
      </c>
      <c r="B19" s="360">
        <v>100</v>
      </c>
      <c r="C19" s="360">
        <v>100</v>
      </c>
      <c r="D19" s="270">
        <v>0</v>
      </c>
      <c r="E19" s="2057">
        <f t="shared" si="0"/>
        <v>0</v>
      </c>
    </row>
    <row r="20" spans="1:5" ht="15.75">
      <c r="A20" s="1985" t="s">
        <v>1747</v>
      </c>
      <c r="B20" s="360">
        <v>100</v>
      </c>
      <c r="C20" s="360">
        <v>100</v>
      </c>
      <c r="D20" s="270">
        <v>0</v>
      </c>
      <c r="E20" s="2057">
        <f t="shared" si="0"/>
        <v>0</v>
      </c>
    </row>
    <row r="21" spans="1:5" ht="15.75">
      <c r="A21" s="457"/>
      <c r="B21" s="276"/>
      <c r="C21" s="357"/>
      <c r="D21" s="269"/>
      <c r="E21" s="2057"/>
    </row>
    <row r="22" spans="1:5" ht="16.5" customHeight="1">
      <c r="A22" s="358"/>
      <c r="B22" s="361"/>
      <c r="C22" s="350"/>
      <c r="D22" s="269"/>
      <c r="E22" s="2057"/>
    </row>
    <row r="23" spans="1:5" ht="15.75">
      <c r="A23" s="269" t="s">
        <v>510</v>
      </c>
      <c r="B23" s="277">
        <f>+B18+B14</f>
        <v>34298</v>
      </c>
      <c r="C23" s="277">
        <f>+C18+C14</f>
        <v>31047</v>
      </c>
      <c r="D23" s="277">
        <f>+D18+D14</f>
        <v>0</v>
      </c>
      <c r="E23" s="2057">
        <f t="shared" si="0"/>
        <v>0</v>
      </c>
    </row>
  </sheetData>
  <sheetProtection/>
  <mergeCells count="6">
    <mergeCell ref="A17:C17"/>
    <mergeCell ref="B12:C12"/>
    <mergeCell ref="B1:E1"/>
    <mergeCell ref="A3:E3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SheetLayoutView="100" zoomScalePageLayoutView="0" workbookViewId="0" topLeftCell="B1">
      <selection activeCell="H2" sqref="H2"/>
    </sheetView>
  </sheetViews>
  <sheetFormatPr defaultColWidth="9.140625" defaultRowHeight="12.75"/>
  <cols>
    <col min="1" max="1" width="16.140625" style="2258" customWidth="1"/>
    <col min="2" max="2" width="13.8515625" style="2258" customWidth="1"/>
    <col min="3" max="6" width="9.140625" style="2258" customWidth="1"/>
    <col min="7" max="7" width="14.57421875" style="2258" customWidth="1"/>
    <col min="8" max="16384" width="9.140625" style="2258" customWidth="1"/>
  </cols>
  <sheetData>
    <row r="1" spans="1:15" ht="15">
      <c r="A1" s="2256"/>
      <c r="B1" s="2256"/>
      <c r="C1" s="2256"/>
      <c r="D1" s="2256"/>
      <c r="E1" s="2256"/>
      <c r="F1" s="2256"/>
      <c r="G1" s="2257"/>
      <c r="H1" s="2318" t="s">
        <v>1252</v>
      </c>
      <c r="I1" s="2318"/>
      <c r="J1" s="2318"/>
      <c r="K1" s="2318"/>
      <c r="L1" s="2318"/>
      <c r="M1" s="2318"/>
      <c r="N1" s="2318"/>
      <c r="O1" s="2318"/>
    </row>
    <row r="4" spans="1:15" ht="15">
      <c r="A4" s="2319" t="s">
        <v>1944</v>
      </c>
      <c r="B4" s="2319"/>
      <c r="C4" s="2319"/>
      <c r="D4" s="2319"/>
      <c r="E4" s="2319"/>
      <c r="F4" s="2319"/>
      <c r="G4" s="2319"/>
      <c r="H4" s="2319"/>
      <c r="I4" s="2319"/>
      <c r="J4" s="2319"/>
      <c r="K4" s="2319"/>
      <c r="L4" s="2319"/>
      <c r="M4" s="2319"/>
      <c r="N4" s="2319"/>
      <c r="O4" s="2319"/>
    </row>
    <row r="5" spans="1:15" ht="15.75">
      <c r="A5" s="2307" t="s">
        <v>1253</v>
      </c>
      <c r="B5" s="2307"/>
      <c r="C5" s="2307"/>
      <c r="D5" s="2307"/>
      <c r="E5" s="2307"/>
      <c r="F5" s="2307"/>
      <c r="G5" s="2307"/>
      <c r="H5" s="2307"/>
      <c r="I5" s="2307"/>
      <c r="J5" s="2307"/>
      <c r="K5" s="2307"/>
      <c r="L5" s="2307"/>
      <c r="M5" s="2307"/>
      <c r="N5" s="2307"/>
      <c r="O5" s="2307"/>
    </row>
    <row r="6" spans="1:15" ht="15.75">
      <c r="A6" s="2254"/>
      <c r="B6" s="2254"/>
      <c r="C6" s="2254"/>
      <c r="D6" s="2254"/>
      <c r="E6" s="2254"/>
      <c r="F6" s="2254"/>
      <c r="G6" s="2254"/>
      <c r="H6" s="2254"/>
      <c r="I6" s="2254"/>
      <c r="J6" s="2254"/>
      <c r="K6" s="2254"/>
      <c r="L6" s="2256"/>
      <c r="M6" s="2256"/>
      <c r="N6" s="2256"/>
      <c r="O6" s="2256"/>
    </row>
    <row r="7" spans="1:15" ht="15.75">
      <c r="A7" s="2254"/>
      <c r="B7" s="2254"/>
      <c r="C7" s="2254"/>
      <c r="D7" s="2254"/>
      <c r="E7" s="2254"/>
      <c r="F7" s="2254"/>
      <c r="G7" s="2254"/>
      <c r="H7" s="2254"/>
      <c r="I7" s="2254"/>
      <c r="J7" s="2254"/>
      <c r="K7" s="2254"/>
      <c r="L7" s="2256"/>
      <c r="M7" s="2256"/>
      <c r="N7" s="2256"/>
      <c r="O7" s="2256"/>
    </row>
    <row r="8" spans="1:15" ht="15">
      <c r="A8" s="2317" t="s">
        <v>1371</v>
      </c>
      <c r="B8" s="2317"/>
      <c r="C8" s="2317"/>
      <c r="D8" s="2317"/>
      <c r="E8" s="2317"/>
      <c r="F8" s="2317"/>
      <c r="G8" s="2317"/>
      <c r="H8" s="2317"/>
      <c r="I8" s="2317"/>
      <c r="J8" s="2317"/>
      <c r="K8" s="2317"/>
      <c r="L8" s="2317"/>
      <c r="M8" s="2317"/>
      <c r="N8" s="2317"/>
      <c r="O8" s="2317"/>
    </row>
    <row r="9" spans="1:15" ht="15">
      <c r="A9" s="2313" t="s">
        <v>1432</v>
      </c>
      <c r="B9" s="2314" t="s">
        <v>521</v>
      </c>
      <c r="C9" s="2315"/>
      <c r="D9" s="2315"/>
      <c r="E9" s="2315"/>
      <c r="F9" s="2316"/>
      <c r="G9" s="2314" t="s">
        <v>522</v>
      </c>
      <c r="H9" s="2315"/>
      <c r="I9" s="2315"/>
      <c r="J9" s="2315"/>
      <c r="K9" s="2316"/>
      <c r="L9" s="2308" t="s">
        <v>523</v>
      </c>
      <c r="M9" s="2309"/>
      <c r="N9" s="2309"/>
      <c r="O9" s="2310"/>
    </row>
    <row r="10" spans="1:15" ht="15">
      <c r="A10" s="2313"/>
      <c r="B10" s="2328" t="s">
        <v>1945</v>
      </c>
      <c r="C10" s="2314" t="s">
        <v>1946</v>
      </c>
      <c r="D10" s="2315"/>
      <c r="E10" s="2315"/>
      <c r="F10" s="2316"/>
      <c r="G10" s="2255" t="s">
        <v>1945</v>
      </c>
      <c r="H10" s="2313" t="s">
        <v>1946</v>
      </c>
      <c r="I10" s="2313"/>
      <c r="J10" s="2253" t="s">
        <v>1354</v>
      </c>
      <c r="K10" s="2253" t="s">
        <v>1353</v>
      </c>
      <c r="L10" s="2311"/>
      <c r="M10" s="2299"/>
      <c r="N10" s="2299"/>
      <c r="O10" s="2300"/>
    </row>
    <row r="11" spans="1:15" ht="15">
      <c r="A11" s="2313"/>
      <c r="B11" s="2312"/>
      <c r="C11" s="2255" t="s">
        <v>1947</v>
      </c>
      <c r="D11" s="2255" t="s">
        <v>1948</v>
      </c>
      <c r="E11" s="2253" t="s">
        <v>1949</v>
      </c>
      <c r="F11" s="2253" t="s">
        <v>1353</v>
      </c>
      <c r="G11" s="2255" t="s">
        <v>1950</v>
      </c>
      <c r="H11" s="2255" t="s">
        <v>1947</v>
      </c>
      <c r="I11" s="2255" t="s">
        <v>1948</v>
      </c>
      <c r="J11" s="2255"/>
      <c r="K11" s="2255"/>
      <c r="L11" s="2255" t="s">
        <v>1947</v>
      </c>
      <c r="M11" s="2255" t="s">
        <v>1948</v>
      </c>
      <c r="N11" s="2253" t="s">
        <v>1354</v>
      </c>
      <c r="O11" s="2253" t="s">
        <v>1353</v>
      </c>
    </row>
    <row r="12" spans="1:15" ht="30.75" customHeight="1">
      <c r="A12" s="2259" t="s">
        <v>1450</v>
      </c>
      <c r="B12" s="2260" t="s">
        <v>1951</v>
      </c>
      <c r="C12" s="2261">
        <v>500</v>
      </c>
      <c r="D12" s="2261">
        <v>500</v>
      </c>
      <c r="E12" s="2261">
        <v>0</v>
      </c>
      <c r="F12" s="2262">
        <v>0</v>
      </c>
      <c r="G12" s="2263"/>
      <c r="H12" s="2263"/>
      <c r="I12" s="2263"/>
      <c r="J12" s="2263"/>
      <c r="K12" s="2263"/>
      <c r="L12" s="2264">
        <v>500</v>
      </c>
      <c r="M12" s="2264">
        <v>500</v>
      </c>
      <c r="N12" s="2264">
        <v>0</v>
      </c>
      <c r="O12" s="2265">
        <v>0</v>
      </c>
    </row>
    <row r="13" spans="1:15" ht="25.5">
      <c r="A13" s="2266" t="s">
        <v>1531</v>
      </c>
      <c r="B13" s="2266"/>
      <c r="C13" s="2266"/>
      <c r="D13" s="2266"/>
      <c r="E13" s="2266"/>
      <c r="F13" s="2262"/>
      <c r="G13" s="2267" t="s">
        <v>524</v>
      </c>
      <c r="H13" s="2268">
        <v>600</v>
      </c>
      <c r="I13" s="2269">
        <v>600</v>
      </c>
      <c r="J13" s="2269">
        <v>0</v>
      </c>
      <c r="K13" s="2270">
        <v>0</v>
      </c>
      <c r="L13" s="2271">
        <v>600</v>
      </c>
      <c r="M13" s="2271">
        <v>600</v>
      </c>
      <c r="N13" s="2271">
        <v>0</v>
      </c>
      <c r="O13" s="2265">
        <v>0</v>
      </c>
    </row>
    <row r="14" spans="1:15" ht="38.25">
      <c r="A14" s="2272" t="s">
        <v>2079</v>
      </c>
      <c r="B14" s="2272"/>
      <c r="C14" s="2272"/>
      <c r="D14" s="2272"/>
      <c r="E14" s="2272"/>
      <c r="F14" s="2262"/>
      <c r="G14" s="2272" t="s">
        <v>525</v>
      </c>
      <c r="H14" s="2273">
        <v>0</v>
      </c>
      <c r="I14" s="2273">
        <v>0</v>
      </c>
      <c r="J14" s="2273">
        <v>0</v>
      </c>
      <c r="K14" s="2270">
        <v>0</v>
      </c>
      <c r="L14" s="2271">
        <v>0</v>
      </c>
      <c r="M14" s="2271">
        <v>0</v>
      </c>
      <c r="N14" s="2271">
        <v>0</v>
      </c>
      <c r="O14" s="2265">
        <v>0</v>
      </c>
    </row>
    <row r="15" spans="1:15" ht="15">
      <c r="A15" s="2274" t="s">
        <v>145</v>
      </c>
      <c r="B15" s="2274"/>
      <c r="C15" s="2275">
        <v>500</v>
      </c>
      <c r="D15" s="2275">
        <v>500</v>
      </c>
      <c r="E15" s="2275">
        <v>0</v>
      </c>
      <c r="F15" s="2276">
        <v>0</v>
      </c>
      <c r="G15" s="2277"/>
      <c r="H15" s="2278">
        <v>600</v>
      </c>
      <c r="I15" s="2278">
        <v>600</v>
      </c>
      <c r="J15" s="2278">
        <v>0</v>
      </c>
      <c r="K15" s="2279">
        <v>0</v>
      </c>
      <c r="L15" s="2280">
        <v>1100</v>
      </c>
      <c r="M15" s="2280">
        <v>1100</v>
      </c>
      <c r="N15" s="2280">
        <v>0</v>
      </c>
      <c r="O15" s="2281">
        <v>0</v>
      </c>
    </row>
  </sheetData>
  <sheetProtection/>
  <mergeCells count="11">
    <mergeCell ref="H1:O1"/>
    <mergeCell ref="A9:A11"/>
    <mergeCell ref="B9:F9"/>
    <mergeCell ref="G9:K9"/>
    <mergeCell ref="A4:O4"/>
    <mergeCell ref="A5:O5"/>
    <mergeCell ref="L9:O10"/>
    <mergeCell ref="B10:B11"/>
    <mergeCell ref="H10:I10"/>
    <mergeCell ref="C10:F10"/>
    <mergeCell ref="A8:O8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1"/>
  <sheetViews>
    <sheetView view="pageBreakPreview" zoomScaleSheetLayoutView="100" zoomScalePageLayoutView="0" workbookViewId="0" topLeftCell="A10">
      <selection activeCell="A2" sqref="A2:K3"/>
    </sheetView>
  </sheetViews>
  <sheetFormatPr defaultColWidth="9.140625" defaultRowHeight="12.75"/>
  <cols>
    <col min="1" max="1" width="17.7109375" style="0" customWidth="1"/>
    <col min="2" max="2" width="18.00390625" style="7" customWidth="1"/>
    <col min="3" max="3" width="10.57421875" style="7" customWidth="1"/>
    <col min="4" max="4" width="10.7109375" style="7" customWidth="1"/>
    <col min="5" max="5" width="10.28125" style="7" customWidth="1"/>
    <col min="6" max="6" width="11.140625" style="7" customWidth="1"/>
    <col min="7" max="7" width="11.57421875" style="7" customWidth="1"/>
    <col min="8" max="9" width="10.28125" style="7" customWidth="1"/>
    <col min="10" max="10" width="11.421875" style="7" customWidth="1"/>
    <col min="11" max="11" width="14.00390625" style="7" customWidth="1"/>
  </cols>
  <sheetData>
    <row r="1" spans="1:11" ht="15.75">
      <c r="A1" s="2076"/>
      <c r="I1" s="2296" t="s">
        <v>2112</v>
      </c>
      <c r="J1" s="2296"/>
      <c r="K1" s="2296"/>
    </row>
    <row r="2" spans="1:11" ht="12.75">
      <c r="A2" s="2297" t="s">
        <v>2110</v>
      </c>
      <c r="B2" s="2297"/>
      <c r="C2" s="2297"/>
      <c r="D2" s="2297"/>
      <c r="E2" s="2297"/>
      <c r="F2" s="2297"/>
      <c r="G2" s="2297"/>
      <c r="H2" s="2297"/>
      <c r="I2" s="2297"/>
      <c r="J2" s="2297"/>
      <c r="K2" s="2297"/>
    </row>
    <row r="3" spans="1:11" ht="12.75">
      <c r="A3" s="2297"/>
      <c r="B3" s="2297"/>
      <c r="C3" s="2297"/>
      <c r="D3" s="2297"/>
      <c r="E3" s="2297"/>
      <c r="F3" s="2297"/>
      <c r="G3" s="2297"/>
      <c r="H3" s="2297"/>
      <c r="I3" s="2297"/>
      <c r="J3" s="2297"/>
      <c r="K3" s="2297"/>
    </row>
    <row r="4" spans="1:11" ht="12.75">
      <c r="A4" s="2297" t="s">
        <v>2111</v>
      </c>
      <c r="B4" s="2297"/>
      <c r="C4" s="2297"/>
      <c r="D4" s="2297"/>
      <c r="E4" s="2297"/>
      <c r="F4" s="2297"/>
      <c r="G4" s="2297"/>
      <c r="H4" s="2297"/>
      <c r="I4" s="2297"/>
      <c r="J4" s="2297"/>
      <c r="K4" s="2297"/>
    </row>
    <row r="5" spans="1:4" ht="15.75">
      <c r="A5" s="2077"/>
      <c r="B5" s="2078"/>
      <c r="C5" s="2078"/>
      <c r="D5" s="2078"/>
    </row>
    <row r="6" ht="15.75">
      <c r="A6" s="2076" t="s">
        <v>2171</v>
      </c>
    </row>
    <row r="7" spans="10:11" ht="12.75">
      <c r="J7" s="2298" t="s">
        <v>1371</v>
      </c>
      <c r="K7" s="2298"/>
    </row>
    <row r="8" spans="1:11" s="2080" customFormat="1" ht="12.75">
      <c r="A8" s="2291" t="s">
        <v>2172</v>
      </c>
      <c r="B8" s="2294" t="s">
        <v>2173</v>
      </c>
      <c r="C8" s="2292" t="s">
        <v>2174</v>
      </c>
      <c r="D8" s="2293"/>
      <c r="E8" s="2293"/>
      <c r="F8" s="2293"/>
      <c r="G8" s="2293"/>
      <c r="H8" s="2293"/>
      <c r="I8" s="2422"/>
      <c r="J8" s="2079"/>
      <c r="K8" s="2301" t="s">
        <v>2175</v>
      </c>
    </row>
    <row r="9" spans="1:11" s="2080" customFormat="1" ht="12.75">
      <c r="A9" s="2291"/>
      <c r="B9" s="2294"/>
      <c r="C9" s="2302" t="s">
        <v>2176</v>
      </c>
      <c r="D9" s="2305" t="s">
        <v>2177</v>
      </c>
      <c r="E9" s="2305"/>
      <c r="F9" s="2305"/>
      <c r="G9" s="2305"/>
      <c r="H9" s="2305"/>
      <c r="I9" s="2305"/>
      <c r="J9" s="2305"/>
      <c r="K9" s="2301"/>
    </row>
    <row r="10" spans="1:11" s="2080" customFormat="1" ht="12.75">
      <c r="A10" s="2291"/>
      <c r="B10" s="2294"/>
      <c r="C10" s="2303"/>
      <c r="D10" s="2306" t="s">
        <v>2178</v>
      </c>
      <c r="E10" s="2306" t="s">
        <v>2179</v>
      </c>
      <c r="F10" s="2306" t="s">
        <v>2180</v>
      </c>
      <c r="G10" s="2306" t="s">
        <v>2181</v>
      </c>
      <c r="H10" s="2306" t="s">
        <v>2182</v>
      </c>
      <c r="I10" s="2306" t="s">
        <v>2183</v>
      </c>
      <c r="J10" s="2295" t="s">
        <v>2184</v>
      </c>
      <c r="K10" s="2301"/>
    </row>
    <row r="11" spans="1:11" s="2080" customFormat="1" ht="12.75">
      <c r="A11" s="2291"/>
      <c r="B11" s="2294"/>
      <c r="C11" s="2304"/>
      <c r="D11" s="2294"/>
      <c r="E11" s="2294"/>
      <c r="F11" s="2294"/>
      <c r="G11" s="2294"/>
      <c r="H11" s="2294"/>
      <c r="I11" s="2294"/>
      <c r="J11" s="2306"/>
      <c r="K11" s="2301"/>
    </row>
    <row r="12" spans="1:11" ht="24">
      <c r="A12" s="2081" t="s">
        <v>2185</v>
      </c>
      <c r="B12" s="2082">
        <f>SUM(B13:B18)</f>
        <v>80</v>
      </c>
      <c r="C12" s="2082">
        <f>SUM(C13:C17)</f>
        <v>0</v>
      </c>
      <c r="D12" s="2082">
        <f>SUM(D13:D17)</f>
        <v>0</v>
      </c>
      <c r="E12" s="2082">
        <f aca="true" t="shared" si="0" ref="E12:K12">SUM(E13:E18)</f>
        <v>0</v>
      </c>
      <c r="F12" s="2082">
        <f t="shared" si="0"/>
        <v>0</v>
      </c>
      <c r="G12" s="2082">
        <f t="shared" si="0"/>
        <v>0</v>
      </c>
      <c r="H12" s="2082">
        <f t="shared" si="0"/>
        <v>75</v>
      </c>
      <c r="I12" s="2082">
        <f t="shared" si="0"/>
        <v>0</v>
      </c>
      <c r="J12" s="2082">
        <f t="shared" si="0"/>
        <v>74</v>
      </c>
      <c r="K12" s="2082">
        <f t="shared" si="0"/>
        <v>149</v>
      </c>
    </row>
    <row r="13" spans="1:11" ht="12.75">
      <c r="A13" s="2083" t="s">
        <v>2186</v>
      </c>
      <c r="B13" s="2084"/>
      <c r="C13" s="2084"/>
      <c r="D13" s="2084"/>
      <c r="E13" s="2084"/>
      <c r="F13" s="2084"/>
      <c r="G13" s="2084">
        <f aca="true" t="shared" si="1" ref="G13:G29">SUM(D13:F13)</f>
        <v>0</v>
      </c>
      <c r="H13" s="2084">
        <v>75</v>
      </c>
      <c r="I13" s="2084">
        <v>0</v>
      </c>
      <c r="J13" s="2084">
        <v>74</v>
      </c>
      <c r="K13" s="2084">
        <f>SUM(G13:J13)</f>
        <v>149</v>
      </c>
    </row>
    <row r="14" spans="1:11" ht="12.75">
      <c r="A14" s="2085" t="s">
        <v>2187</v>
      </c>
      <c r="B14" s="2086"/>
      <c r="C14" s="2086"/>
      <c r="D14" s="2086"/>
      <c r="E14" s="2086"/>
      <c r="F14" s="2086"/>
      <c r="G14" s="2084">
        <f t="shared" si="1"/>
        <v>0</v>
      </c>
      <c r="H14" s="2086">
        <v>0</v>
      </c>
      <c r="I14" s="2086">
        <v>0</v>
      </c>
      <c r="J14" s="2086"/>
      <c r="K14" s="2084">
        <f aca="true" t="shared" si="2" ref="K14:K28">SUM(G14:J14)</f>
        <v>0</v>
      </c>
    </row>
    <row r="15" spans="1:11" ht="12.75">
      <c r="A15" s="2087" t="s">
        <v>2188</v>
      </c>
      <c r="B15" s="2086"/>
      <c r="C15" s="2086"/>
      <c r="D15" s="2086"/>
      <c r="E15" s="2086"/>
      <c r="F15" s="2086"/>
      <c r="G15" s="2084">
        <f t="shared" si="1"/>
        <v>0</v>
      </c>
      <c r="H15" s="2086">
        <v>0</v>
      </c>
      <c r="I15" s="2086">
        <v>0</v>
      </c>
      <c r="J15" s="2086"/>
      <c r="K15" s="2084">
        <f t="shared" si="2"/>
        <v>0</v>
      </c>
    </row>
    <row r="16" spans="1:11" ht="12.75">
      <c r="A16" s="2085" t="s">
        <v>100</v>
      </c>
      <c r="B16" s="2086">
        <v>80</v>
      </c>
      <c r="C16" s="2086"/>
      <c r="D16" s="2086"/>
      <c r="E16" s="2086"/>
      <c r="F16" s="2086"/>
      <c r="G16" s="2084">
        <f t="shared" si="1"/>
        <v>0</v>
      </c>
      <c r="H16" s="2086">
        <v>0</v>
      </c>
      <c r="I16" s="2086">
        <v>0</v>
      </c>
      <c r="J16" s="2086">
        <v>0</v>
      </c>
      <c r="K16" s="2084">
        <f t="shared" si="2"/>
        <v>0</v>
      </c>
    </row>
    <row r="17" spans="1:11" ht="24">
      <c r="A17" s="2085" t="s">
        <v>82</v>
      </c>
      <c r="B17" s="2086"/>
      <c r="C17" s="2086"/>
      <c r="D17" s="2086"/>
      <c r="E17" s="2086"/>
      <c r="F17" s="2086"/>
      <c r="G17" s="2084">
        <f t="shared" si="1"/>
        <v>0</v>
      </c>
      <c r="H17" s="2086">
        <v>0</v>
      </c>
      <c r="I17" s="2086">
        <v>0</v>
      </c>
      <c r="J17" s="2086"/>
      <c r="K17" s="2084">
        <f t="shared" si="2"/>
        <v>0</v>
      </c>
    </row>
    <row r="18" spans="1:11" ht="12.75">
      <c r="A18" s="2085" t="s">
        <v>2189</v>
      </c>
      <c r="B18" s="2086"/>
      <c r="C18" s="2086"/>
      <c r="D18" s="2086"/>
      <c r="E18" s="2086"/>
      <c r="F18" s="2086"/>
      <c r="G18" s="2084">
        <f t="shared" si="1"/>
        <v>0</v>
      </c>
      <c r="H18" s="2086">
        <v>0</v>
      </c>
      <c r="I18" s="2086">
        <v>0</v>
      </c>
      <c r="J18" s="2086"/>
      <c r="K18" s="2084">
        <f t="shared" si="2"/>
        <v>0</v>
      </c>
    </row>
    <row r="19" spans="1:11" ht="24">
      <c r="A19" s="2088" t="s">
        <v>2190</v>
      </c>
      <c r="B19" s="2089">
        <f>SUM(B20:B22)</f>
        <v>773</v>
      </c>
      <c r="C19" s="2089">
        <f>SUM(C20:C22)</f>
        <v>0</v>
      </c>
      <c r="D19" s="2089">
        <f aca="true" t="shared" si="3" ref="D19:J19">SUM(D20:D22)</f>
        <v>0</v>
      </c>
      <c r="E19" s="2089">
        <f t="shared" si="3"/>
        <v>0</v>
      </c>
      <c r="F19" s="2089">
        <f t="shared" si="3"/>
        <v>0</v>
      </c>
      <c r="G19" s="2089">
        <f t="shared" si="3"/>
        <v>0</v>
      </c>
      <c r="H19" s="2089">
        <f t="shared" si="3"/>
        <v>717</v>
      </c>
      <c r="I19" s="2089">
        <f t="shared" si="3"/>
        <v>0</v>
      </c>
      <c r="J19" s="2089">
        <f t="shared" si="3"/>
        <v>0</v>
      </c>
      <c r="K19" s="2089">
        <f>SUM(K20:K22)</f>
        <v>717</v>
      </c>
    </row>
    <row r="20" spans="1:11" ht="12.75">
      <c r="A20" s="2085" t="s">
        <v>921</v>
      </c>
      <c r="B20" s="2086">
        <v>773</v>
      </c>
      <c r="C20" s="2086"/>
      <c r="D20" s="2086"/>
      <c r="E20" s="2086"/>
      <c r="F20" s="2086"/>
      <c r="G20" s="2084">
        <f t="shared" si="1"/>
        <v>0</v>
      </c>
      <c r="H20" s="2086">
        <v>717</v>
      </c>
      <c r="I20" s="2086">
        <v>0</v>
      </c>
      <c r="J20" s="2086"/>
      <c r="K20" s="2084">
        <f>SUM(G20:J20)</f>
        <v>717</v>
      </c>
    </row>
    <row r="21" spans="1:11" ht="12.75">
      <c r="A21" s="2085" t="s">
        <v>2191</v>
      </c>
      <c r="B21" s="2086"/>
      <c r="C21" s="2086"/>
      <c r="D21" s="2086"/>
      <c r="E21" s="2086"/>
      <c r="F21" s="2086"/>
      <c r="G21" s="2084">
        <f t="shared" si="1"/>
        <v>0</v>
      </c>
      <c r="H21" s="2086">
        <v>0</v>
      </c>
      <c r="I21" s="2086">
        <v>0</v>
      </c>
      <c r="J21" s="2086"/>
      <c r="K21" s="2084">
        <f>SUM(G21:I21)</f>
        <v>0</v>
      </c>
    </row>
    <row r="22" spans="1:11" ht="12.75">
      <c r="A22" s="2085" t="s">
        <v>925</v>
      </c>
      <c r="B22" s="2086"/>
      <c r="C22" s="2086"/>
      <c r="D22" s="2086"/>
      <c r="E22" s="2086"/>
      <c r="F22" s="2086"/>
      <c r="G22" s="2084">
        <f t="shared" si="1"/>
        <v>0</v>
      </c>
      <c r="H22" s="2086">
        <v>0</v>
      </c>
      <c r="I22" s="2086">
        <v>0</v>
      </c>
      <c r="J22" s="2086"/>
      <c r="K22" s="2084">
        <f t="shared" si="2"/>
        <v>0</v>
      </c>
    </row>
    <row r="23" spans="1:11" ht="24">
      <c r="A23" s="2088" t="s">
        <v>2192</v>
      </c>
      <c r="B23" s="2089">
        <f>SUM(B24:B25)</f>
        <v>0</v>
      </c>
      <c r="C23" s="2089">
        <f>SUM(C24:C25)</f>
        <v>0</v>
      </c>
      <c r="D23" s="2089">
        <f>SUM(D24:D25)</f>
        <v>0</v>
      </c>
      <c r="E23" s="2089">
        <v>0</v>
      </c>
      <c r="F23" s="2089">
        <f aca="true" t="shared" si="4" ref="F23:K23">SUM(F24:F25)</f>
        <v>0</v>
      </c>
      <c r="G23" s="2089">
        <f t="shared" si="4"/>
        <v>0</v>
      </c>
      <c r="H23" s="2089">
        <f t="shared" si="4"/>
        <v>0</v>
      </c>
      <c r="I23" s="2089">
        <f t="shared" si="4"/>
        <v>0</v>
      </c>
      <c r="J23" s="2089">
        <f t="shared" si="4"/>
        <v>0</v>
      </c>
      <c r="K23" s="2089">
        <f t="shared" si="4"/>
        <v>0</v>
      </c>
    </row>
    <row r="24" spans="1:11" ht="12.75">
      <c r="A24" s="2085" t="s">
        <v>2193</v>
      </c>
      <c r="B24" s="2086"/>
      <c r="C24" s="2086"/>
      <c r="D24" s="2086"/>
      <c r="E24" s="2086"/>
      <c r="F24" s="2086"/>
      <c r="G24" s="2084">
        <f t="shared" si="1"/>
        <v>0</v>
      </c>
      <c r="H24" s="2086"/>
      <c r="I24" s="2086"/>
      <c r="J24" s="2086"/>
      <c r="K24" s="2084">
        <f>SUM(G24:I24)</f>
        <v>0</v>
      </c>
    </row>
    <row r="25" spans="1:11" ht="12.75">
      <c r="A25" s="2085" t="s">
        <v>2194</v>
      </c>
      <c r="B25" s="2086"/>
      <c r="C25" s="2086"/>
      <c r="D25" s="2086"/>
      <c r="E25" s="2086"/>
      <c r="F25" s="2086"/>
      <c r="G25" s="2084">
        <f t="shared" si="1"/>
        <v>0</v>
      </c>
      <c r="H25" s="2086"/>
      <c r="I25" s="2086"/>
      <c r="J25" s="2086"/>
      <c r="K25" s="2084">
        <f>SUM(G25:I25)</f>
        <v>0</v>
      </c>
    </row>
    <row r="26" spans="1:11" ht="12.75">
      <c r="A26" s="2110" t="s">
        <v>2196</v>
      </c>
      <c r="B26" s="2086"/>
      <c r="C26" s="2086"/>
      <c r="D26" s="2086"/>
      <c r="E26" s="2086"/>
      <c r="F26" s="2086"/>
      <c r="G26" s="2149"/>
      <c r="H26" s="2086"/>
      <c r="I26" s="2086"/>
      <c r="J26" s="2086"/>
      <c r="K26" s="2149"/>
    </row>
    <row r="27" spans="1:11" ht="12.75">
      <c r="A27" s="2091" t="s">
        <v>2195</v>
      </c>
      <c r="B27" s="2089">
        <f>SUM(B12+B19+B23+B26)</f>
        <v>853</v>
      </c>
      <c r="C27" s="2089">
        <f aca="true" t="shared" si="5" ref="C27:K27">SUM(C12+C19+C23+C26)</f>
        <v>0</v>
      </c>
      <c r="D27" s="2089">
        <f t="shared" si="5"/>
        <v>0</v>
      </c>
      <c r="E27" s="2089">
        <f t="shared" si="5"/>
        <v>0</v>
      </c>
      <c r="F27" s="2089">
        <f t="shared" si="5"/>
        <v>0</v>
      </c>
      <c r="G27" s="2089">
        <f t="shared" si="5"/>
        <v>0</v>
      </c>
      <c r="H27" s="2089">
        <f t="shared" si="5"/>
        <v>792</v>
      </c>
      <c r="I27" s="2089">
        <f t="shared" si="5"/>
        <v>0</v>
      </c>
      <c r="J27" s="2089">
        <f t="shared" si="5"/>
        <v>74</v>
      </c>
      <c r="K27" s="2089">
        <f t="shared" si="5"/>
        <v>866</v>
      </c>
    </row>
    <row r="28" spans="1:11" ht="12.75">
      <c r="A28" s="2110" t="s">
        <v>332</v>
      </c>
      <c r="B28" s="2086">
        <v>8740947</v>
      </c>
      <c r="C28" s="2086">
        <v>5372</v>
      </c>
      <c r="D28" s="2086">
        <v>4959432</v>
      </c>
      <c r="E28" s="2086">
        <v>549812</v>
      </c>
      <c r="F28" s="2086">
        <v>1703175</v>
      </c>
      <c r="G28" s="2084">
        <f t="shared" si="1"/>
        <v>7212419</v>
      </c>
      <c r="H28" s="2086">
        <v>38634</v>
      </c>
      <c r="I28" s="2086">
        <v>2583</v>
      </c>
      <c r="J28" s="2086">
        <v>325672</v>
      </c>
      <c r="K28" s="2082">
        <f t="shared" si="2"/>
        <v>7579308</v>
      </c>
    </row>
    <row r="29" spans="1:11" ht="12.75">
      <c r="A29" s="2092" t="s">
        <v>2197</v>
      </c>
      <c r="B29" s="2089">
        <f>SUM(B27:B28)</f>
        <v>8741800</v>
      </c>
      <c r="C29" s="2089">
        <f aca="true" t="shared" si="6" ref="C29:J29">SUM(C27:C28)</f>
        <v>5372</v>
      </c>
      <c r="D29" s="2089">
        <f t="shared" si="6"/>
        <v>4959432</v>
      </c>
      <c r="E29" s="2089">
        <f t="shared" si="6"/>
        <v>549812</v>
      </c>
      <c r="F29" s="2089">
        <f t="shared" si="6"/>
        <v>1703175</v>
      </c>
      <c r="G29" s="2082">
        <f t="shared" si="1"/>
        <v>7212419</v>
      </c>
      <c r="H29" s="2089">
        <f>SUM(H27:H28)</f>
        <v>39426</v>
      </c>
      <c r="I29" s="2089">
        <f t="shared" si="6"/>
        <v>2583</v>
      </c>
      <c r="J29" s="2089">
        <f t="shared" si="6"/>
        <v>325746</v>
      </c>
      <c r="K29" s="2082">
        <f>SUM(G29:J29)</f>
        <v>7580174</v>
      </c>
    </row>
    <row r="30" spans="1:11" ht="12.75">
      <c r="A30" s="2093"/>
      <c r="B30" s="2094"/>
      <c r="C30" s="2094"/>
      <c r="D30" s="2094"/>
      <c r="E30" s="2094"/>
      <c r="F30" s="2094"/>
      <c r="G30" s="2094"/>
      <c r="H30" s="2094"/>
      <c r="I30" s="2094"/>
      <c r="J30" s="2094"/>
      <c r="K30" s="2095"/>
    </row>
    <row r="31" ht="15.75">
      <c r="A31" s="2096"/>
    </row>
    <row r="32" ht="15.75">
      <c r="A32" s="2096"/>
    </row>
    <row r="33" ht="15.75">
      <c r="A33" s="2096"/>
    </row>
    <row r="34" ht="15.75">
      <c r="A34" s="2076"/>
    </row>
    <row r="35" spans="1:9" ht="15.75">
      <c r="A35" s="275"/>
      <c r="I35" s="2097"/>
    </row>
    <row r="36" ht="15.75">
      <c r="A36" s="266"/>
    </row>
    <row r="37" ht="15.75">
      <c r="J37" s="2097"/>
    </row>
    <row r="38" ht="15.75">
      <c r="A38" s="2098"/>
    </row>
    <row r="39" spans="1:11" ht="12.75">
      <c r="A39" s="2289"/>
      <c r="B39" s="2099"/>
      <c r="C39" s="2099"/>
      <c r="D39" s="2099"/>
      <c r="E39" s="2290"/>
      <c r="F39" s="2099"/>
      <c r="G39" s="2099"/>
      <c r="H39" s="309"/>
      <c r="I39" s="309"/>
      <c r="J39" s="309"/>
      <c r="K39" s="309"/>
    </row>
    <row r="40" spans="1:11" ht="12.75">
      <c r="A40" s="2289"/>
      <c r="B40" s="2099"/>
      <c r="C40" s="2099"/>
      <c r="D40" s="2099"/>
      <c r="E40" s="2290"/>
      <c r="F40" s="2099"/>
      <c r="G40" s="2099"/>
      <c r="H40" s="309"/>
      <c r="I40" s="309"/>
      <c r="J40" s="309"/>
      <c r="K40" s="309"/>
    </row>
    <row r="41" spans="1:11" ht="15.75">
      <c r="A41" s="2100"/>
      <c r="B41" s="2101"/>
      <c r="C41" s="2101"/>
      <c r="D41" s="2101"/>
      <c r="E41" s="2101"/>
      <c r="F41" s="2101"/>
      <c r="G41" s="2101"/>
      <c r="H41" s="309"/>
      <c r="I41" s="309"/>
      <c r="J41" s="309"/>
      <c r="K41" s="309"/>
    </row>
    <row r="42" spans="1:11" ht="15.75">
      <c r="A42" s="2100"/>
      <c r="B42" s="2101"/>
      <c r="C42" s="2101"/>
      <c r="D42" s="2101"/>
      <c r="E42" s="2101"/>
      <c r="F42" s="2101"/>
      <c r="G42" s="2101"/>
      <c r="H42" s="309"/>
      <c r="I42" s="309"/>
      <c r="J42" s="309"/>
      <c r="K42" s="309"/>
    </row>
    <row r="43" spans="1:11" ht="15.75">
      <c r="A43" s="2100"/>
      <c r="B43" s="2101"/>
      <c r="C43" s="2101"/>
      <c r="D43" s="2101"/>
      <c r="E43" s="2102"/>
      <c r="F43" s="2101"/>
      <c r="G43" s="2101"/>
      <c r="H43" s="309"/>
      <c r="I43" s="309"/>
      <c r="J43" s="309"/>
      <c r="K43" s="309"/>
    </row>
    <row r="44" spans="1:11" ht="15.75">
      <c r="A44" s="2100"/>
      <c r="B44" s="2101"/>
      <c r="C44" s="2101"/>
      <c r="D44" s="2101"/>
      <c r="E44" s="2101"/>
      <c r="F44" s="2101"/>
      <c r="G44" s="2101"/>
      <c r="H44" s="309"/>
      <c r="I44" s="309"/>
      <c r="J44" s="309"/>
      <c r="K44" s="309"/>
    </row>
    <row r="45" spans="1:11" ht="15.75">
      <c r="A45" s="2100"/>
      <c r="B45" s="2101"/>
      <c r="C45" s="2101"/>
      <c r="D45" s="2101"/>
      <c r="E45" s="2101"/>
      <c r="F45" s="2101"/>
      <c r="G45" s="2101"/>
      <c r="H45" s="309"/>
      <c r="I45" s="309"/>
      <c r="J45" s="309"/>
      <c r="K45" s="309"/>
    </row>
    <row r="46" spans="1:11" ht="15.75">
      <c r="A46" s="2100"/>
      <c r="B46" s="2101"/>
      <c r="C46" s="2101"/>
      <c r="D46" s="2101"/>
      <c r="E46" s="2101"/>
      <c r="F46" s="2101"/>
      <c r="G46" s="2101"/>
      <c r="H46" s="309"/>
      <c r="I46" s="309"/>
      <c r="J46" s="309"/>
      <c r="K46" s="309"/>
    </row>
    <row r="47" spans="1:11" ht="15.75">
      <c r="A47" s="2100"/>
      <c r="B47" s="2101"/>
      <c r="C47" s="2101"/>
      <c r="D47" s="2101"/>
      <c r="E47" s="2101"/>
      <c r="F47" s="2101"/>
      <c r="G47" s="2101"/>
      <c r="H47" s="309"/>
      <c r="I47" s="309"/>
      <c r="J47" s="309"/>
      <c r="K47" s="309"/>
    </row>
    <row r="48" spans="1:11" ht="15.75">
      <c r="A48" s="2100"/>
      <c r="B48" s="2101"/>
      <c r="C48" s="2101"/>
      <c r="D48" s="2101"/>
      <c r="E48" s="2101"/>
      <c r="F48" s="2101"/>
      <c r="G48" s="2101"/>
      <c r="H48" s="309"/>
      <c r="I48" s="309"/>
      <c r="J48" s="309"/>
      <c r="K48" s="309"/>
    </row>
    <row r="49" spans="1:11" ht="15.75">
      <c r="A49" s="2100"/>
      <c r="B49" s="2101"/>
      <c r="C49" s="2101"/>
      <c r="D49" s="2101"/>
      <c r="E49" s="2101"/>
      <c r="F49" s="2101"/>
      <c r="G49" s="2101"/>
      <c r="H49" s="309"/>
      <c r="I49" s="309"/>
      <c r="J49" s="309"/>
      <c r="K49" s="309"/>
    </row>
    <row r="50" spans="1:11" ht="15.75">
      <c r="A50" s="2100"/>
      <c r="B50" s="2101"/>
      <c r="C50" s="2101"/>
      <c r="D50" s="2101"/>
      <c r="E50" s="2101"/>
      <c r="F50" s="2101"/>
      <c r="G50" s="2101"/>
      <c r="H50" s="309"/>
      <c r="I50" s="309"/>
      <c r="J50" s="309"/>
      <c r="K50" s="309"/>
    </row>
    <row r="51" spans="1:11" ht="15.75">
      <c r="A51" s="2100"/>
      <c r="B51" s="2101"/>
      <c r="C51" s="2101"/>
      <c r="D51" s="2101"/>
      <c r="E51" s="2101"/>
      <c r="F51" s="2101"/>
      <c r="G51" s="2101"/>
      <c r="H51" s="309"/>
      <c r="I51" s="309"/>
      <c r="J51" s="309"/>
      <c r="K51" s="309"/>
    </row>
    <row r="52" spans="1:11" ht="15.75">
      <c r="A52" s="2100"/>
      <c r="B52" s="2101"/>
      <c r="C52" s="2101"/>
      <c r="D52" s="2101"/>
      <c r="E52" s="2101"/>
      <c r="F52" s="2101"/>
      <c r="G52" s="2101"/>
      <c r="H52" s="309"/>
      <c r="I52" s="309"/>
      <c r="J52" s="309"/>
      <c r="K52" s="309"/>
    </row>
    <row r="53" spans="1:11" ht="15.75">
      <c r="A53" s="2100"/>
      <c r="B53" s="2101"/>
      <c r="C53" s="2101"/>
      <c r="D53" s="2101"/>
      <c r="E53" s="2101"/>
      <c r="F53" s="2101"/>
      <c r="G53" s="2101"/>
      <c r="H53" s="309"/>
      <c r="I53" s="309"/>
      <c r="J53" s="309"/>
      <c r="K53" s="309"/>
    </row>
    <row r="54" spans="1:11" ht="15.75">
      <c r="A54" s="2103"/>
      <c r="B54" s="2104"/>
      <c r="C54" s="2104"/>
      <c r="D54" s="2104"/>
      <c r="E54" s="2104"/>
      <c r="F54" s="2104"/>
      <c r="G54" s="2104"/>
      <c r="H54" s="309"/>
      <c r="I54" s="309"/>
      <c r="J54" s="309"/>
      <c r="K54" s="309"/>
    </row>
    <row r="55" spans="1:11" ht="15.75">
      <c r="A55" s="2105"/>
      <c r="B55" s="309"/>
      <c r="C55" s="309"/>
      <c r="D55" s="309"/>
      <c r="E55" s="309"/>
      <c r="F55" s="309"/>
      <c r="G55" s="309"/>
      <c r="H55" s="309"/>
      <c r="I55" s="309"/>
      <c r="J55" s="309"/>
      <c r="K55" s="309"/>
    </row>
    <row r="56" spans="1:11" ht="12.75">
      <c r="A56" s="1410"/>
      <c r="B56" s="309"/>
      <c r="C56" s="309"/>
      <c r="D56" s="309"/>
      <c r="E56" s="309"/>
      <c r="F56" s="309"/>
      <c r="G56" s="309"/>
      <c r="H56" s="309"/>
      <c r="I56" s="309"/>
      <c r="J56" s="309"/>
      <c r="K56" s="309"/>
    </row>
    <row r="57" spans="1:11" ht="15.75">
      <c r="A57" s="2106"/>
      <c r="B57" s="309"/>
      <c r="C57" s="309"/>
      <c r="D57" s="309"/>
      <c r="E57" s="309"/>
      <c r="F57" s="309"/>
      <c r="G57" s="309"/>
      <c r="H57" s="309"/>
      <c r="I57" s="309"/>
      <c r="J57" s="309"/>
      <c r="K57" s="309"/>
    </row>
    <row r="58" spans="1:11" ht="12.75">
      <c r="A58" s="1410"/>
      <c r="B58" s="309"/>
      <c r="C58" s="309"/>
      <c r="D58" s="309"/>
      <c r="E58" s="309"/>
      <c r="F58" s="309"/>
      <c r="G58" s="309"/>
      <c r="H58" s="309"/>
      <c r="I58" s="309"/>
      <c r="J58" s="309"/>
      <c r="K58" s="309"/>
    </row>
    <row r="59" spans="1:11" ht="15.75">
      <c r="A59" s="2100"/>
      <c r="B59" s="2101"/>
      <c r="C59" s="2101"/>
      <c r="D59" s="2101"/>
      <c r="E59" s="2101"/>
      <c r="F59" s="2101"/>
      <c r="G59" s="2101"/>
      <c r="H59" s="2101"/>
      <c r="I59" s="2101"/>
      <c r="J59" s="2101"/>
      <c r="K59" s="2101"/>
    </row>
    <row r="60" spans="1:11" ht="15.75">
      <c r="A60" s="2100"/>
      <c r="B60" s="2101"/>
      <c r="C60" s="2101"/>
      <c r="D60" s="2101"/>
      <c r="E60" s="2101"/>
      <c r="F60" s="2101"/>
      <c r="G60" s="2101"/>
      <c r="H60" s="2101"/>
      <c r="I60" s="2101"/>
      <c r="J60" s="2101"/>
      <c r="K60" s="2101"/>
    </row>
    <row r="61" spans="1:11" ht="15.75">
      <c r="A61" s="2100"/>
      <c r="B61" s="2101"/>
      <c r="C61" s="2101"/>
      <c r="D61" s="2101"/>
      <c r="E61" s="2101"/>
      <c r="F61" s="2101"/>
      <c r="G61" s="2101"/>
      <c r="H61" s="2101"/>
      <c r="I61" s="2101"/>
      <c r="J61" s="2101"/>
      <c r="K61" s="2101"/>
    </row>
    <row r="62" spans="1:11" ht="15.75">
      <c r="A62" s="2100"/>
      <c r="B62" s="2101"/>
      <c r="C62" s="2101"/>
      <c r="D62" s="2101"/>
      <c r="E62" s="2101"/>
      <c r="F62" s="2101"/>
      <c r="G62" s="2101"/>
      <c r="H62" s="2101"/>
      <c r="I62" s="2101"/>
      <c r="J62" s="2101"/>
      <c r="K62" s="2101"/>
    </row>
    <row r="63" spans="1:11" ht="15.75">
      <c r="A63" s="2100"/>
      <c r="B63" s="2101"/>
      <c r="C63" s="2101"/>
      <c r="D63" s="2101"/>
      <c r="E63" s="2101"/>
      <c r="F63" s="2101"/>
      <c r="G63" s="2101"/>
      <c r="H63" s="2101"/>
      <c r="I63" s="2101"/>
      <c r="J63" s="2101"/>
      <c r="K63" s="2101"/>
    </row>
    <row r="64" spans="1:11" ht="15.75">
      <c r="A64" s="2100"/>
      <c r="B64" s="2101"/>
      <c r="C64" s="2101"/>
      <c r="D64" s="2101"/>
      <c r="E64" s="2101"/>
      <c r="F64" s="2101"/>
      <c r="G64" s="2101"/>
      <c r="H64" s="2101"/>
      <c r="I64" s="2101"/>
      <c r="J64" s="2101"/>
      <c r="K64" s="2101"/>
    </row>
    <row r="65" spans="1:11" ht="12.75">
      <c r="A65" s="1410"/>
      <c r="B65" s="309"/>
      <c r="C65" s="309"/>
      <c r="D65" s="309"/>
      <c r="E65" s="309"/>
      <c r="F65" s="309"/>
      <c r="G65" s="309"/>
      <c r="H65" s="309"/>
      <c r="I65" s="309"/>
      <c r="J65" s="309"/>
      <c r="K65" s="309"/>
    </row>
    <row r="66" spans="1:11" ht="12.75">
      <c r="A66" s="1410"/>
      <c r="B66" s="309"/>
      <c r="C66" s="309"/>
      <c r="D66" s="309"/>
      <c r="E66" s="309"/>
      <c r="F66" s="309"/>
      <c r="G66" s="309"/>
      <c r="H66" s="309"/>
      <c r="I66" s="309"/>
      <c r="J66" s="309"/>
      <c r="K66" s="309"/>
    </row>
    <row r="67" spans="1:11" ht="12.75">
      <c r="A67" s="1410"/>
      <c r="B67" s="309"/>
      <c r="C67" s="309"/>
      <c r="D67" s="309"/>
      <c r="E67" s="309"/>
      <c r="F67" s="309"/>
      <c r="G67" s="309"/>
      <c r="H67" s="309"/>
      <c r="I67" s="309"/>
      <c r="J67" s="309"/>
      <c r="K67" s="309"/>
    </row>
    <row r="68" spans="1:11" ht="12.75">
      <c r="A68" s="1410"/>
      <c r="B68" s="309"/>
      <c r="C68" s="309"/>
      <c r="D68" s="309"/>
      <c r="E68" s="309"/>
      <c r="F68" s="309"/>
      <c r="G68" s="309"/>
      <c r="H68" s="309"/>
      <c r="I68" s="309"/>
      <c r="J68" s="309"/>
      <c r="K68" s="309"/>
    </row>
    <row r="69" spans="1:11" ht="12.75">
      <c r="A69" s="1410"/>
      <c r="B69" s="309"/>
      <c r="C69" s="309"/>
      <c r="D69" s="309"/>
      <c r="E69" s="309"/>
      <c r="F69" s="309"/>
      <c r="G69" s="309"/>
      <c r="H69" s="309"/>
      <c r="I69" s="309"/>
      <c r="J69" s="309"/>
      <c r="K69" s="309"/>
    </row>
    <row r="70" spans="1:11" ht="12.75">
      <c r="A70" s="1410"/>
      <c r="B70" s="309"/>
      <c r="C70" s="309"/>
      <c r="D70" s="309"/>
      <c r="E70" s="309"/>
      <c r="F70" s="309"/>
      <c r="G70" s="309"/>
      <c r="H70" s="309"/>
      <c r="I70" s="309"/>
      <c r="J70" s="309"/>
      <c r="K70" s="309"/>
    </row>
    <row r="71" spans="1:11" ht="12.75">
      <c r="A71" s="1410"/>
      <c r="B71" s="309"/>
      <c r="C71" s="309"/>
      <c r="D71" s="309"/>
      <c r="E71" s="309"/>
      <c r="F71" s="309"/>
      <c r="G71" s="309"/>
      <c r="H71" s="309"/>
      <c r="I71" s="309"/>
      <c r="J71" s="309"/>
      <c r="K71" s="309"/>
    </row>
    <row r="72" spans="1:11" ht="12.75">
      <c r="A72" s="1410"/>
      <c r="B72" s="309"/>
      <c r="C72" s="309"/>
      <c r="D72" s="309"/>
      <c r="E72" s="309"/>
      <c r="F72" s="309"/>
      <c r="G72" s="309"/>
      <c r="H72" s="309"/>
      <c r="I72" s="309"/>
      <c r="J72" s="309"/>
      <c r="K72" s="309"/>
    </row>
    <row r="73" spans="1:11" ht="12.75">
      <c r="A73" s="1410"/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1:11" ht="12.75">
      <c r="A74" s="1410"/>
      <c r="B74" s="309"/>
      <c r="C74" s="309"/>
      <c r="D74" s="309"/>
      <c r="E74" s="309"/>
      <c r="F74" s="309"/>
      <c r="G74" s="309"/>
      <c r="H74" s="309"/>
      <c r="I74" s="309"/>
      <c r="J74" s="309"/>
      <c r="K74" s="309"/>
    </row>
    <row r="75" spans="1:11" ht="12.75">
      <c r="A75" s="1410"/>
      <c r="B75" s="309"/>
      <c r="C75" s="309"/>
      <c r="D75" s="309"/>
      <c r="E75" s="309"/>
      <c r="F75" s="309"/>
      <c r="G75" s="309"/>
      <c r="H75" s="309"/>
      <c r="I75" s="309"/>
      <c r="J75" s="309"/>
      <c r="K75" s="309"/>
    </row>
    <row r="76" spans="1:11" ht="12.75">
      <c r="A76" s="1410"/>
      <c r="B76" s="309"/>
      <c r="C76" s="309"/>
      <c r="D76" s="309"/>
      <c r="E76" s="309"/>
      <c r="F76" s="309"/>
      <c r="G76" s="309"/>
      <c r="H76" s="309"/>
      <c r="I76" s="309"/>
      <c r="J76" s="309"/>
      <c r="K76" s="309"/>
    </row>
    <row r="77" spans="1:11" ht="12.75">
      <c r="A77" s="1410"/>
      <c r="B77" s="309"/>
      <c r="C77" s="309"/>
      <c r="D77" s="309"/>
      <c r="E77" s="309"/>
      <c r="F77" s="309"/>
      <c r="G77" s="309"/>
      <c r="H77" s="309"/>
      <c r="I77" s="309"/>
      <c r="J77" s="309"/>
      <c r="K77" s="309"/>
    </row>
    <row r="78" spans="1:11" ht="12.75">
      <c r="A78" s="1410"/>
      <c r="B78" s="309"/>
      <c r="C78" s="309"/>
      <c r="D78" s="309"/>
      <c r="E78" s="309"/>
      <c r="F78" s="309"/>
      <c r="G78" s="309"/>
      <c r="H78" s="309"/>
      <c r="I78" s="309"/>
      <c r="J78" s="309"/>
      <c r="K78" s="309"/>
    </row>
    <row r="79" spans="1:11" ht="12.75">
      <c r="A79" s="1410"/>
      <c r="B79" s="309"/>
      <c r="C79" s="309"/>
      <c r="D79" s="309"/>
      <c r="E79" s="309"/>
      <c r="F79" s="309"/>
      <c r="G79" s="309"/>
      <c r="H79" s="309"/>
      <c r="I79" s="309"/>
      <c r="J79" s="309"/>
      <c r="K79" s="309"/>
    </row>
    <row r="80" spans="1:11" ht="12.75">
      <c r="A80" s="1410"/>
      <c r="B80" s="309"/>
      <c r="C80" s="309"/>
      <c r="D80" s="309"/>
      <c r="E80" s="309"/>
      <c r="F80" s="309"/>
      <c r="G80" s="309"/>
      <c r="H80" s="309"/>
      <c r="I80" s="309"/>
      <c r="J80" s="309"/>
      <c r="K80" s="309"/>
    </row>
    <row r="81" spans="1:11" ht="12.75">
      <c r="A81" s="1410"/>
      <c r="B81" s="309"/>
      <c r="C81" s="309"/>
      <c r="D81" s="309"/>
      <c r="E81" s="309"/>
      <c r="F81" s="309"/>
      <c r="G81" s="309"/>
      <c r="H81" s="309"/>
      <c r="I81" s="309"/>
      <c r="J81" s="309"/>
      <c r="K81" s="309"/>
    </row>
    <row r="82" spans="1:11" ht="12.75">
      <c r="A82" s="1410"/>
      <c r="B82" s="309"/>
      <c r="C82" s="309"/>
      <c r="D82" s="309"/>
      <c r="E82" s="309"/>
      <c r="F82" s="309"/>
      <c r="G82" s="309"/>
      <c r="H82" s="309"/>
      <c r="I82" s="309"/>
      <c r="J82" s="309"/>
      <c r="K82" s="309"/>
    </row>
    <row r="83" spans="1:11" ht="12.75">
      <c r="A83" s="1410"/>
      <c r="B83" s="309"/>
      <c r="C83" s="309"/>
      <c r="D83" s="309"/>
      <c r="E83" s="309"/>
      <c r="F83" s="309"/>
      <c r="G83" s="309"/>
      <c r="H83" s="309"/>
      <c r="I83" s="309"/>
      <c r="J83" s="309"/>
      <c r="K83" s="309"/>
    </row>
    <row r="84" spans="1:11" ht="12.75">
      <c r="A84" s="1410"/>
      <c r="B84" s="309"/>
      <c r="C84" s="309"/>
      <c r="D84" s="309"/>
      <c r="E84" s="309"/>
      <c r="F84" s="309"/>
      <c r="G84" s="309"/>
      <c r="H84" s="309"/>
      <c r="I84" s="309"/>
      <c r="J84" s="309"/>
      <c r="K84" s="309"/>
    </row>
    <row r="85" spans="1:11" ht="12.75">
      <c r="A85" s="1410"/>
      <c r="B85" s="309"/>
      <c r="C85" s="309"/>
      <c r="D85" s="309"/>
      <c r="E85" s="309"/>
      <c r="F85" s="309"/>
      <c r="G85" s="309"/>
      <c r="H85" s="309"/>
      <c r="I85" s="309"/>
      <c r="J85" s="309"/>
      <c r="K85" s="309"/>
    </row>
    <row r="86" spans="1:11" ht="12.75">
      <c r="A86" s="1410"/>
      <c r="B86" s="309"/>
      <c r="C86" s="309"/>
      <c r="D86" s="309"/>
      <c r="E86" s="309"/>
      <c r="F86" s="309"/>
      <c r="G86" s="309"/>
      <c r="H86" s="309"/>
      <c r="I86" s="309"/>
      <c r="J86" s="309"/>
      <c r="K86" s="309"/>
    </row>
    <row r="87" spans="1:11" ht="12.75">
      <c r="A87" s="1410"/>
      <c r="B87" s="309"/>
      <c r="C87" s="309"/>
      <c r="D87" s="309"/>
      <c r="E87" s="309"/>
      <c r="F87" s="309"/>
      <c r="G87" s="309"/>
      <c r="H87" s="309"/>
      <c r="I87" s="309"/>
      <c r="J87" s="309"/>
      <c r="K87" s="309"/>
    </row>
    <row r="88" spans="1:11" ht="12.75">
      <c r="A88" s="1410"/>
      <c r="B88" s="309"/>
      <c r="C88" s="309"/>
      <c r="D88" s="309"/>
      <c r="E88" s="309"/>
      <c r="F88" s="309"/>
      <c r="G88" s="309"/>
      <c r="H88" s="309"/>
      <c r="I88" s="309"/>
      <c r="J88" s="309"/>
      <c r="K88" s="309"/>
    </row>
    <row r="89" spans="1:11" ht="12.75">
      <c r="A89" s="1410"/>
      <c r="B89" s="309"/>
      <c r="C89" s="309"/>
      <c r="D89" s="309"/>
      <c r="E89" s="309"/>
      <c r="F89" s="309"/>
      <c r="G89" s="309"/>
      <c r="H89" s="309"/>
      <c r="I89" s="309"/>
      <c r="J89" s="309"/>
      <c r="K89" s="309"/>
    </row>
    <row r="90" spans="1:11" ht="12.75">
      <c r="A90" s="1410"/>
      <c r="B90" s="309"/>
      <c r="C90" s="309"/>
      <c r="D90" s="309"/>
      <c r="E90" s="309"/>
      <c r="F90" s="309"/>
      <c r="G90" s="309"/>
      <c r="H90" s="309"/>
      <c r="I90" s="309"/>
      <c r="J90" s="309"/>
      <c r="K90" s="309"/>
    </row>
    <row r="91" spans="1:11" ht="12.75">
      <c r="A91" s="1410"/>
      <c r="B91" s="309"/>
      <c r="C91" s="309"/>
      <c r="D91" s="309"/>
      <c r="E91" s="309"/>
      <c r="F91" s="309"/>
      <c r="G91" s="309"/>
      <c r="H91" s="309"/>
      <c r="I91" s="309"/>
      <c r="J91" s="309"/>
      <c r="K91" s="309"/>
    </row>
    <row r="92" spans="1:11" ht="12.75">
      <c r="A92" s="1410"/>
      <c r="B92" s="309"/>
      <c r="C92" s="309"/>
      <c r="D92" s="309"/>
      <c r="E92" s="309"/>
      <c r="F92" s="309"/>
      <c r="G92" s="309"/>
      <c r="H92" s="309"/>
      <c r="I92" s="309"/>
      <c r="J92" s="309"/>
      <c r="K92" s="309"/>
    </row>
    <row r="93" spans="1:11" ht="12.75">
      <c r="A93" s="1410"/>
      <c r="B93" s="309"/>
      <c r="C93" s="309"/>
      <c r="D93" s="309"/>
      <c r="E93" s="309"/>
      <c r="F93" s="309"/>
      <c r="G93" s="309"/>
      <c r="H93" s="309"/>
      <c r="I93" s="309"/>
      <c r="J93" s="309"/>
      <c r="K93" s="309"/>
    </row>
    <row r="94" spans="1:11" ht="12.75">
      <c r="A94" s="1410"/>
      <c r="B94" s="309"/>
      <c r="C94" s="309"/>
      <c r="D94" s="309"/>
      <c r="E94" s="309"/>
      <c r="F94" s="309"/>
      <c r="G94" s="309"/>
      <c r="H94" s="309"/>
      <c r="I94" s="309"/>
      <c r="J94" s="309"/>
      <c r="K94" s="309"/>
    </row>
    <row r="95" spans="1:11" ht="12.75">
      <c r="A95" s="1410"/>
      <c r="B95" s="309"/>
      <c r="C95" s="309"/>
      <c r="D95" s="309"/>
      <c r="E95" s="309"/>
      <c r="F95" s="309"/>
      <c r="G95" s="309"/>
      <c r="H95" s="309"/>
      <c r="I95" s="309"/>
      <c r="J95" s="309"/>
      <c r="K95" s="309"/>
    </row>
    <row r="96" spans="1:11" ht="12.75">
      <c r="A96" s="1410"/>
      <c r="B96" s="309"/>
      <c r="C96" s="309"/>
      <c r="D96" s="309"/>
      <c r="E96" s="309"/>
      <c r="F96" s="309"/>
      <c r="G96" s="309"/>
      <c r="H96" s="309"/>
      <c r="I96" s="309"/>
      <c r="J96" s="309"/>
      <c r="K96" s="309"/>
    </row>
    <row r="97" spans="1:11" ht="12.75">
      <c r="A97" s="1410"/>
      <c r="B97" s="309"/>
      <c r="C97" s="309"/>
      <c r="D97" s="309"/>
      <c r="E97" s="309"/>
      <c r="F97" s="309"/>
      <c r="G97" s="309"/>
      <c r="H97" s="309"/>
      <c r="I97" s="309"/>
      <c r="J97" s="309"/>
      <c r="K97" s="309"/>
    </row>
    <row r="98" spans="1:11" ht="12.75">
      <c r="A98" s="1410"/>
      <c r="B98" s="309"/>
      <c r="C98" s="309"/>
      <c r="D98" s="309"/>
      <c r="E98" s="309"/>
      <c r="F98" s="309"/>
      <c r="G98" s="309"/>
      <c r="H98" s="309"/>
      <c r="I98" s="309"/>
      <c r="J98" s="309"/>
      <c r="K98" s="309"/>
    </row>
    <row r="99" spans="1:11" ht="12.75">
      <c r="A99" s="1410"/>
      <c r="B99" s="309"/>
      <c r="C99" s="309"/>
      <c r="D99" s="309"/>
      <c r="E99" s="309"/>
      <c r="F99" s="309"/>
      <c r="G99" s="309"/>
      <c r="H99" s="309"/>
      <c r="I99" s="309"/>
      <c r="J99" s="309"/>
      <c r="K99" s="309"/>
    </row>
    <row r="100" spans="1:11" ht="12.75">
      <c r="A100" s="1410"/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1:11" ht="12.75">
      <c r="A101" s="1410"/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</row>
  </sheetData>
  <sheetProtection/>
  <mergeCells count="19">
    <mergeCell ref="A39:A40"/>
    <mergeCell ref="E39:E40"/>
    <mergeCell ref="A8:A11"/>
    <mergeCell ref="B8:B11"/>
    <mergeCell ref="C8:I8"/>
    <mergeCell ref="G10:G11"/>
    <mergeCell ref="H10:H11"/>
    <mergeCell ref="I10:I11"/>
    <mergeCell ref="I1:K1"/>
    <mergeCell ref="A2:K3"/>
    <mergeCell ref="A4:K4"/>
    <mergeCell ref="J7:K7"/>
    <mergeCell ref="K8:K11"/>
    <mergeCell ref="C9:C11"/>
    <mergeCell ref="D9:J9"/>
    <mergeCell ref="D10:D11"/>
    <mergeCell ref="E10:E11"/>
    <mergeCell ref="F10:F11"/>
    <mergeCell ref="J10:J11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zoomScalePageLayoutView="0" workbookViewId="0" topLeftCell="A7">
      <selection activeCell="A2" sqref="A2:L4"/>
    </sheetView>
  </sheetViews>
  <sheetFormatPr defaultColWidth="9.140625" defaultRowHeight="12.75"/>
  <cols>
    <col min="1" max="1" width="17.7109375" style="0" customWidth="1"/>
    <col min="2" max="11" width="10.28125" style="0" customWidth="1"/>
    <col min="12" max="12" width="10.7109375" style="0" customWidth="1"/>
  </cols>
  <sheetData>
    <row r="1" spans="8:12" ht="12.75">
      <c r="H1" s="2423" t="s">
        <v>2113</v>
      </c>
      <c r="I1" s="2423"/>
      <c r="J1" s="2423"/>
      <c r="K1" s="2423"/>
      <c r="L1" s="2423"/>
    </row>
    <row r="2" spans="1:12" ht="12.75">
      <c r="A2" s="2424" t="s">
        <v>2198</v>
      </c>
      <c r="B2" s="2424"/>
      <c r="C2" s="2424"/>
      <c r="D2" s="2424"/>
      <c r="E2" s="2424"/>
      <c r="F2" s="2424"/>
      <c r="G2" s="2424"/>
      <c r="H2" s="2424"/>
      <c r="I2" s="2424"/>
      <c r="J2" s="2424"/>
      <c r="K2" s="2424"/>
      <c r="L2" s="2424"/>
    </row>
    <row r="3" spans="1:12" ht="12.75">
      <c r="A3" s="2424"/>
      <c r="B3" s="2424"/>
      <c r="C3" s="2424"/>
      <c r="D3" s="2424"/>
      <c r="E3" s="2424"/>
      <c r="F3" s="2424"/>
      <c r="G3" s="2424"/>
      <c r="H3" s="2424"/>
      <c r="I3" s="2424"/>
      <c r="J3" s="2424"/>
      <c r="K3" s="2424"/>
      <c r="L3" s="2424"/>
    </row>
    <row r="4" spans="1:12" ht="12.75">
      <c r="A4" s="2424"/>
      <c r="B4" s="2424"/>
      <c r="C4" s="2424"/>
      <c r="D4" s="2424"/>
      <c r="E4" s="2424"/>
      <c r="F4" s="2424"/>
      <c r="G4" s="2424"/>
      <c r="H4" s="2424"/>
      <c r="I4" s="2424"/>
      <c r="J4" s="2424"/>
      <c r="K4" s="2424"/>
      <c r="L4" s="2424"/>
    </row>
    <row r="5" spans="1:12" ht="12.75">
      <c r="A5" s="2107"/>
      <c r="B5" s="2107"/>
      <c r="C5" s="2107"/>
      <c r="D5" s="2107"/>
      <c r="E5" s="2107"/>
      <c r="F5" s="2107"/>
      <c r="G5" s="2107"/>
      <c r="H5" s="2107"/>
      <c r="I5" s="2107"/>
      <c r="J5" s="2107"/>
      <c r="K5" s="2107"/>
      <c r="L5" s="2107"/>
    </row>
    <row r="6" spans="1:12" ht="12.75">
      <c r="A6" s="2107"/>
      <c r="B6" s="2107"/>
      <c r="C6" s="2107"/>
      <c r="D6" s="2107"/>
      <c r="E6" s="2107"/>
      <c r="F6" s="2107"/>
      <c r="G6" s="2107"/>
      <c r="H6" s="2107"/>
      <c r="I6" s="2107"/>
      <c r="J6" s="2107"/>
      <c r="K6" s="2107"/>
      <c r="L6" s="2107"/>
    </row>
    <row r="7" spans="1:12" ht="13.5" customHeight="1">
      <c r="A7" s="2107"/>
      <c r="B7" s="2107"/>
      <c r="C7" s="2107"/>
      <c r="D7" s="2107"/>
      <c r="E7" s="2107"/>
      <c r="F7" s="2107"/>
      <c r="G7" s="2107"/>
      <c r="H7" s="2107"/>
      <c r="I7" s="2107"/>
      <c r="J7" s="2107"/>
      <c r="K7" s="2425" t="s">
        <v>1371</v>
      </c>
      <c r="L7" s="2425"/>
    </row>
    <row r="8" spans="1:12" s="2080" customFormat="1" ht="12.75">
      <c r="A8" s="2291" t="s">
        <v>2172</v>
      </c>
      <c r="B8" s="2426" t="s">
        <v>2199</v>
      </c>
      <c r="C8" s="2426" t="s">
        <v>2200</v>
      </c>
      <c r="D8" s="2426" t="s">
        <v>2201</v>
      </c>
      <c r="E8" s="2426" t="s">
        <v>2202</v>
      </c>
      <c r="F8" s="2426"/>
      <c r="G8" s="2426"/>
      <c r="H8" s="2426"/>
      <c r="I8" s="2426"/>
      <c r="J8" s="2426"/>
      <c r="K8" s="2426" t="s">
        <v>2203</v>
      </c>
      <c r="L8" s="2426" t="s">
        <v>2204</v>
      </c>
    </row>
    <row r="9" spans="1:12" s="2080" customFormat="1" ht="12.75">
      <c r="A9" s="2291"/>
      <c r="B9" s="2426"/>
      <c r="C9" s="2426"/>
      <c r="D9" s="2426"/>
      <c r="E9" s="2426" t="s">
        <v>2205</v>
      </c>
      <c r="F9" s="2426" t="s">
        <v>2206</v>
      </c>
      <c r="G9" s="2426" t="s">
        <v>2180</v>
      </c>
      <c r="H9" s="2426" t="s">
        <v>2181</v>
      </c>
      <c r="I9" s="2426" t="s">
        <v>2207</v>
      </c>
      <c r="J9" s="2426" t="s">
        <v>2183</v>
      </c>
      <c r="K9" s="2426"/>
      <c r="L9" s="2426"/>
    </row>
    <row r="10" spans="1:12" s="2080" customFormat="1" ht="12.75">
      <c r="A10" s="2291"/>
      <c r="B10" s="2426"/>
      <c r="C10" s="2426"/>
      <c r="D10" s="2426"/>
      <c r="E10" s="2426"/>
      <c r="F10" s="2426"/>
      <c r="G10" s="2426"/>
      <c r="H10" s="2426"/>
      <c r="I10" s="2426"/>
      <c r="J10" s="2426"/>
      <c r="K10" s="2426"/>
      <c r="L10" s="2426"/>
    </row>
    <row r="11" spans="1:12" ht="24">
      <c r="A11" s="2088" t="s">
        <v>2185</v>
      </c>
      <c r="B11" s="2108">
        <f aca="true" t="shared" si="0" ref="B11:K11">SUM(B12:B17)</f>
        <v>0</v>
      </c>
      <c r="C11" s="2108">
        <f t="shared" si="0"/>
        <v>0</v>
      </c>
      <c r="D11" s="2108">
        <f t="shared" si="0"/>
        <v>0</v>
      </c>
      <c r="E11" s="2108">
        <f t="shared" si="0"/>
        <v>0</v>
      </c>
      <c r="F11" s="2108">
        <f t="shared" si="0"/>
        <v>0</v>
      </c>
      <c r="G11" s="2108">
        <f t="shared" si="0"/>
        <v>0</v>
      </c>
      <c r="H11" s="2108">
        <f t="shared" si="0"/>
        <v>0</v>
      </c>
      <c r="I11" s="2108">
        <f t="shared" si="0"/>
        <v>0</v>
      </c>
      <c r="J11" s="2108">
        <f t="shared" si="0"/>
        <v>0</v>
      </c>
      <c r="K11" s="2108">
        <f t="shared" si="0"/>
        <v>0</v>
      </c>
      <c r="L11" s="2108">
        <f>'7.1.'!C12+'7.1.'!K12+'7.2.'!D11+'7.2.'!K11</f>
        <v>149</v>
      </c>
    </row>
    <row r="12" spans="1:12" ht="12.75">
      <c r="A12" s="2085" t="s">
        <v>2186</v>
      </c>
      <c r="B12" s="2109"/>
      <c r="C12" s="2109"/>
      <c r="D12" s="2109">
        <f aca="true" t="shared" si="1" ref="D12:D17">SUM(B12:C12)</f>
        <v>0</v>
      </c>
      <c r="E12" s="2109"/>
      <c r="F12" s="2109"/>
      <c r="G12" s="2109"/>
      <c r="H12" s="2109"/>
      <c r="I12" s="2109"/>
      <c r="J12" s="2109"/>
      <c r="K12" s="2109">
        <f aca="true" t="shared" si="2" ref="K12:K17">SUM(E12:J12)</f>
        <v>0</v>
      </c>
      <c r="L12" s="2108">
        <f>'7.1.'!C13+'7.1.'!K13+'7.2.'!D12+'7.2.'!K12</f>
        <v>149</v>
      </c>
    </row>
    <row r="13" spans="1:12" ht="12.75">
      <c r="A13" s="2085" t="s">
        <v>2187</v>
      </c>
      <c r="B13" s="2109"/>
      <c r="C13" s="2109"/>
      <c r="D13" s="2109">
        <f t="shared" si="1"/>
        <v>0</v>
      </c>
      <c r="E13" s="2109"/>
      <c r="F13" s="2109"/>
      <c r="G13" s="2109"/>
      <c r="H13" s="2109"/>
      <c r="I13" s="2109"/>
      <c r="J13" s="2109"/>
      <c r="K13" s="2109">
        <f t="shared" si="2"/>
        <v>0</v>
      </c>
      <c r="L13" s="2108">
        <f>'7.1.'!C14+'7.1.'!K14+'7.2.'!D13+'7.2.'!K13</f>
        <v>0</v>
      </c>
    </row>
    <row r="14" spans="1:12" ht="12.75">
      <c r="A14" s="2085" t="s">
        <v>330</v>
      </c>
      <c r="B14" s="2109"/>
      <c r="C14" s="2109"/>
      <c r="D14" s="2109">
        <f t="shared" si="1"/>
        <v>0</v>
      </c>
      <c r="E14" s="2109"/>
      <c r="F14" s="2109"/>
      <c r="G14" s="2109"/>
      <c r="H14" s="2109"/>
      <c r="I14" s="2109"/>
      <c r="J14" s="2109"/>
      <c r="K14" s="2109">
        <f t="shared" si="2"/>
        <v>0</v>
      </c>
      <c r="L14" s="2108">
        <f>'7.1.'!C15+'7.1.'!K15+'7.2.'!D14+'7.2.'!K14</f>
        <v>0</v>
      </c>
    </row>
    <row r="15" spans="1:12" ht="12.75">
      <c r="A15" s="2085" t="s">
        <v>100</v>
      </c>
      <c r="B15" s="2109"/>
      <c r="C15" s="2109"/>
      <c r="D15" s="2109">
        <f t="shared" si="1"/>
        <v>0</v>
      </c>
      <c r="E15" s="2109"/>
      <c r="F15" s="2109"/>
      <c r="G15" s="2109"/>
      <c r="H15" s="2109"/>
      <c r="I15" s="2109"/>
      <c r="J15" s="2109"/>
      <c r="K15" s="2109">
        <f t="shared" si="2"/>
        <v>0</v>
      </c>
      <c r="L15" s="2108">
        <f>'7.1.'!C16+'7.1.'!K16+'7.2.'!D15+'7.2.'!K15</f>
        <v>0</v>
      </c>
    </row>
    <row r="16" spans="1:12" ht="24">
      <c r="A16" s="2085" t="s">
        <v>82</v>
      </c>
      <c r="B16" s="2109"/>
      <c r="C16" s="2109"/>
      <c r="D16" s="2109">
        <f t="shared" si="1"/>
        <v>0</v>
      </c>
      <c r="E16" s="2109"/>
      <c r="F16" s="2109"/>
      <c r="G16" s="2109"/>
      <c r="H16" s="2109"/>
      <c r="I16" s="2109"/>
      <c r="J16" s="2109"/>
      <c r="K16" s="2109">
        <f t="shared" si="2"/>
        <v>0</v>
      </c>
      <c r="L16" s="2108">
        <f>'7.1.'!C17+'7.1.'!K17+'7.2.'!D16+'7.2.'!K16</f>
        <v>0</v>
      </c>
    </row>
    <row r="17" spans="1:12" ht="12.75">
      <c r="A17" s="2085" t="s">
        <v>331</v>
      </c>
      <c r="B17" s="2109"/>
      <c r="C17" s="2109"/>
      <c r="D17" s="2109">
        <f t="shared" si="1"/>
        <v>0</v>
      </c>
      <c r="E17" s="2109"/>
      <c r="F17" s="2109"/>
      <c r="G17" s="2109"/>
      <c r="H17" s="2109"/>
      <c r="I17" s="2109"/>
      <c r="J17" s="2109"/>
      <c r="K17" s="2109">
        <f t="shared" si="2"/>
        <v>0</v>
      </c>
      <c r="L17" s="2108">
        <f>'7.1.'!C18+'7.1.'!K18+'7.2.'!D17+'7.2.'!K17</f>
        <v>0</v>
      </c>
    </row>
    <row r="18" spans="1:12" ht="24">
      <c r="A18" s="2088" t="s">
        <v>2190</v>
      </c>
      <c r="B18" s="2108">
        <f>SUM(B19:B21)</f>
        <v>0</v>
      </c>
      <c r="C18" s="2108">
        <f aca="true" t="shared" si="3" ref="C18:K18">SUM(C19:C21)</f>
        <v>0</v>
      </c>
      <c r="D18" s="2108">
        <f t="shared" si="3"/>
        <v>0</v>
      </c>
      <c r="E18" s="2108">
        <f t="shared" si="3"/>
        <v>0</v>
      </c>
      <c r="F18" s="2108">
        <f t="shared" si="3"/>
        <v>0</v>
      </c>
      <c r="G18" s="2108">
        <f t="shared" si="3"/>
        <v>0</v>
      </c>
      <c r="H18" s="2108">
        <f t="shared" si="3"/>
        <v>0</v>
      </c>
      <c r="I18" s="2108">
        <f t="shared" si="3"/>
        <v>0</v>
      </c>
      <c r="J18" s="2108">
        <f t="shared" si="3"/>
        <v>0</v>
      </c>
      <c r="K18" s="2108">
        <f t="shared" si="3"/>
        <v>0</v>
      </c>
      <c r="L18" s="2108">
        <f>'7.1.'!C19+'7.1.'!K19+'7.2.'!D18+'7.2.'!K18</f>
        <v>717</v>
      </c>
    </row>
    <row r="19" spans="1:12" ht="12.75">
      <c r="A19" s="2085" t="s">
        <v>921</v>
      </c>
      <c r="B19" s="2109"/>
      <c r="C19" s="2109"/>
      <c r="D19" s="2109">
        <f>SUM(B19:C19)</f>
        <v>0</v>
      </c>
      <c r="E19" s="2109"/>
      <c r="F19" s="2109"/>
      <c r="G19" s="2109"/>
      <c r="H19" s="2109"/>
      <c r="I19" s="2109"/>
      <c r="J19" s="2109"/>
      <c r="K19" s="2109">
        <f>SUM(E19:J19)</f>
        <v>0</v>
      </c>
      <c r="L19" s="2108">
        <f>'7.1.'!C20+'7.1.'!K20+'7.2.'!D19+'7.2.'!K19</f>
        <v>717</v>
      </c>
    </row>
    <row r="20" spans="1:12" ht="12.75">
      <c r="A20" s="2085" t="s">
        <v>2191</v>
      </c>
      <c r="B20" s="2109"/>
      <c r="C20" s="2109"/>
      <c r="D20" s="2109">
        <f>SUM(B20:C20)</f>
        <v>0</v>
      </c>
      <c r="E20" s="2109"/>
      <c r="F20" s="2109"/>
      <c r="G20" s="2109"/>
      <c r="H20" s="2109"/>
      <c r="I20" s="2109"/>
      <c r="J20" s="2109"/>
      <c r="K20" s="2109">
        <f>SUM(E20:J20)</f>
        <v>0</v>
      </c>
      <c r="L20" s="2108">
        <f>'7.1.'!C21+'7.1.'!K21+'7.2.'!D20+'7.2.'!K20</f>
        <v>0</v>
      </c>
    </row>
    <row r="21" spans="1:12" ht="12.75">
      <c r="A21" s="2085" t="s">
        <v>925</v>
      </c>
      <c r="B21" s="2108"/>
      <c r="C21" s="2108"/>
      <c r="D21" s="2109">
        <f>SUM(B21:C21)</f>
        <v>0</v>
      </c>
      <c r="E21" s="2108"/>
      <c r="F21" s="2108"/>
      <c r="G21" s="2108"/>
      <c r="H21" s="2108"/>
      <c r="I21" s="2108"/>
      <c r="J21" s="2108"/>
      <c r="K21" s="2109">
        <f>SUM(E21:J21)</f>
        <v>0</v>
      </c>
      <c r="L21" s="2108">
        <f>'7.1.'!C22+'7.1.'!K22+'7.2.'!D21+'7.2.'!K21</f>
        <v>0</v>
      </c>
    </row>
    <row r="22" spans="1:12" ht="24">
      <c r="A22" s="2088" t="s">
        <v>2192</v>
      </c>
      <c r="B22" s="2108">
        <f aca="true" t="shared" si="4" ref="B22:K22">SUM(B23:B24)</f>
        <v>0</v>
      </c>
      <c r="C22" s="2108">
        <f t="shared" si="4"/>
        <v>0</v>
      </c>
      <c r="D22" s="2108">
        <f t="shared" si="4"/>
        <v>0</v>
      </c>
      <c r="E22" s="2108">
        <f t="shared" si="4"/>
        <v>0</v>
      </c>
      <c r="F22" s="2108">
        <f t="shared" si="4"/>
        <v>0</v>
      </c>
      <c r="G22" s="2108">
        <f t="shared" si="4"/>
        <v>0</v>
      </c>
      <c r="H22" s="2108">
        <f t="shared" si="4"/>
        <v>0</v>
      </c>
      <c r="I22" s="2108">
        <f t="shared" si="4"/>
        <v>0</v>
      </c>
      <c r="J22" s="2108">
        <f t="shared" si="4"/>
        <v>0</v>
      </c>
      <c r="K22" s="2108">
        <f t="shared" si="4"/>
        <v>0</v>
      </c>
      <c r="L22" s="2108">
        <f>'7.1.'!C23+'7.1.'!K23+'7.2.'!D22+'7.2.'!K22</f>
        <v>0</v>
      </c>
    </row>
    <row r="23" spans="1:12" ht="12.75">
      <c r="A23" s="2085" t="s">
        <v>2193</v>
      </c>
      <c r="B23" s="2108"/>
      <c r="C23" s="2108"/>
      <c r="D23" s="2109">
        <f>SUM(B23:C23)</f>
        <v>0</v>
      </c>
      <c r="E23" s="2108"/>
      <c r="F23" s="2108"/>
      <c r="G23" s="2108"/>
      <c r="H23" s="2108"/>
      <c r="I23" s="2108"/>
      <c r="J23" s="2108"/>
      <c r="K23" s="2109">
        <f>SUM(E23:J23)</f>
        <v>0</v>
      </c>
      <c r="L23" s="2108">
        <f>'7.1.'!C24+'7.1.'!K24+'7.2.'!D23+'7.2.'!K23</f>
        <v>0</v>
      </c>
    </row>
    <row r="24" spans="1:12" ht="12.75">
      <c r="A24" s="2085" t="s">
        <v>2194</v>
      </c>
      <c r="B24" s="2109"/>
      <c r="C24" s="2109"/>
      <c r="D24" s="2109">
        <f>SUM(B24:C24)</f>
        <v>0</v>
      </c>
      <c r="E24" s="2109"/>
      <c r="F24" s="2109"/>
      <c r="G24" s="2109"/>
      <c r="H24" s="2109"/>
      <c r="I24" s="2109"/>
      <c r="J24" s="2109"/>
      <c r="K24" s="2109">
        <f>SUM(E24:J24)</f>
        <v>0</v>
      </c>
      <c r="L24" s="2108">
        <f>'7.1.'!C25+'7.1.'!K25+'7.2.'!D24+'7.2.'!K24</f>
        <v>0</v>
      </c>
    </row>
    <row r="25" spans="1:12" ht="12.75">
      <c r="A25" s="2110" t="s">
        <v>1140</v>
      </c>
      <c r="B25" s="2108">
        <v>0</v>
      </c>
      <c r="C25" s="2108">
        <v>0</v>
      </c>
      <c r="D25" s="2108">
        <v>0</v>
      </c>
      <c r="E25" s="2108">
        <v>0</v>
      </c>
      <c r="F25" s="2108">
        <v>0</v>
      </c>
      <c r="G25" s="2108">
        <v>0</v>
      </c>
      <c r="H25" s="2108">
        <v>0</v>
      </c>
      <c r="I25" s="2108">
        <v>0</v>
      </c>
      <c r="J25" s="2108">
        <v>0</v>
      </c>
      <c r="K25" s="2109">
        <v>0</v>
      </c>
      <c r="L25" s="2108">
        <f>'7.1.'!C26+'7.1.'!K26+'7.2.'!D25+'7.2.'!K25</f>
        <v>0</v>
      </c>
    </row>
    <row r="26" spans="1:12" ht="12.75">
      <c r="A26" s="2091" t="s">
        <v>2195</v>
      </c>
      <c r="B26" s="2108">
        <f aca="true" t="shared" si="5" ref="B26:K26">SUM(B11+B18+B23)</f>
        <v>0</v>
      </c>
      <c r="C26" s="2108">
        <f t="shared" si="5"/>
        <v>0</v>
      </c>
      <c r="D26" s="2108">
        <f t="shared" si="5"/>
        <v>0</v>
      </c>
      <c r="E26" s="2108">
        <f t="shared" si="5"/>
        <v>0</v>
      </c>
      <c r="F26" s="2108">
        <f t="shared" si="5"/>
        <v>0</v>
      </c>
      <c r="G26" s="2108">
        <f t="shared" si="5"/>
        <v>0</v>
      </c>
      <c r="H26" s="2108">
        <f t="shared" si="5"/>
        <v>0</v>
      </c>
      <c r="I26" s="2108">
        <f t="shared" si="5"/>
        <v>0</v>
      </c>
      <c r="J26" s="2108">
        <f t="shared" si="5"/>
        <v>0</v>
      </c>
      <c r="K26" s="2108">
        <f t="shared" si="5"/>
        <v>0</v>
      </c>
      <c r="L26" s="2108">
        <f>'7.1.'!C27+'7.1.'!K27+'7.2.'!D26+'7.2.'!K26</f>
        <v>866</v>
      </c>
    </row>
    <row r="27" spans="1:12" ht="12.75">
      <c r="A27" s="2085" t="s">
        <v>332</v>
      </c>
      <c r="B27" s="2111">
        <v>38460</v>
      </c>
      <c r="C27" s="2109">
        <v>2749</v>
      </c>
      <c r="D27" s="2109">
        <f>SUM(B27:C27)</f>
        <v>41209</v>
      </c>
      <c r="E27" s="2109">
        <v>101871</v>
      </c>
      <c r="F27" s="2109">
        <v>2734080</v>
      </c>
      <c r="G27" s="2109">
        <v>57789</v>
      </c>
      <c r="H27" s="2109">
        <f>SUM(E27:G27)</f>
        <v>2893740</v>
      </c>
      <c r="I27" s="2109">
        <v>107919</v>
      </c>
      <c r="J27" s="2109">
        <v>0</v>
      </c>
      <c r="K27" s="2109">
        <f>SUM(H27:J27)</f>
        <v>3001659</v>
      </c>
      <c r="L27" s="2108">
        <f>'7.1.'!C28+'7.1.'!K28+'7.2.'!D27+'7.2.'!K27</f>
        <v>10627548</v>
      </c>
    </row>
    <row r="28" spans="1:12" ht="12.75">
      <c r="A28" s="2092" t="s">
        <v>2197</v>
      </c>
      <c r="B28" s="2112">
        <f>SUM(B26:B27)</f>
        <v>38460</v>
      </c>
      <c r="C28" s="2112">
        <f aca="true" t="shared" si="6" ref="C28:K28">SUM(C26:C27)</f>
        <v>2749</v>
      </c>
      <c r="D28" s="2112">
        <f t="shared" si="6"/>
        <v>41209</v>
      </c>
      <c r="E28" s="2112">
        <f t="shared" si="6"/>
        <v>101871</v>
      </c>
      <c r="F28" s="2112">
        <f t="shared" si="6"/>
        <v>2734080</v>
      </c>
      <c r="G28" s="2112">
        <f t="shared" si="6"/>
        <v>57789</v>
      </c>
      <c r="H28" s="2112">
        <f t="shared" si="6"/>
        <v>2893740</v>
      </c>
      <c r="I28" s="2112">
        <f t="shared" si="6"/>
        <v>107919</v>
      </c>
      <c r="J28" s="2112">
        <f t="shared" si="6"/>
        <v>0</v>
      </c>
      <c r="K28" s="2112">
        <f t="shared" si="6"/>
        <v>3001659</v>
      </c>
      <c r="L28" s="2108">
        <f>'7.1.'!C29+'7.1.'!K29+'7.2.'!D28+'7.2.'!K28</f>
        <v>10628414</v>
      </c>
    </row>
    <row r="29" spans="1:12" ht="12.75">
      <c r="A29" s="2107"/>
      <c r="B29" s="2114"/>
      <c r="C29" s="2115"/>
      <c r="D29" s="2115"/>
      <c r="E29" s="2115"/>
      <c r="F29" s="2115"/>
      <c r="G29" s="2115"/>
      <c r="H29" s="2115"/>
      <c r="I29" s="2115"/>
      <c r="J29" s="2115"/>
      <c r="K29" s="2115"/>
      <c r="L29" s="2150"/>
    </row>
    <row r="30" spans="1:12" ht="12.75">
      <c r="A30" s="2107"/>
      <c r="B30" s="2107"/>
      <c r="C30" s="2116"/>
      <c r="D30" s="2116"/>
      <c r="E30" s="2116"/>
      <c r="F30" s="2116"/>
      <c r="G30" s="2116"/>
      <c r="H30" s="2116"/>
      <c r="I30" s="2116"/>
      <c r="J30" s="2116"/>
      <c r="K30" s="2116"/>
      <c r="L30" s="2116"/>
    </row>
    <row r="31" spans="1:12" ht="12.75">
      <c r="A31" s="2107"/>
      <c r="B31" s="2107"/>
      <c r="C31" s="2116"/>
      <c r="D31" s="2116"/>
      <c r="E31" s="2116"/>
      <c r="F31" s="2116"/>
      <c r="G31" s="2116"/>
      <c r="H31" s="2116"/>
      <c r="I31" s="2116"/>
      <c r="J31" s="2116"/>
      <c r="K31" s="2116"/>
      <c r="L31" s="2116"/>
    </row>
    <row r="32" spans="1:12" ht="12.75">
      <c r="A32" s="2107"/>
      <c r="B32" s="2107"/>
      <c r="C32" s="2107"/>
      <c r="D32" s="2107"/>
      <c r="E32" s="2107"/>
      <c r="F32" s="2107"/>
      <c r="G32" s="2107"/>
      <c r="H32" s="2107"/>
      <c r="I32" s="2107"/>
      <c r="J32" s="2107"/>
      <c r="K32" s="2107"/>
      <c r="L32" s="2107"/>
    </row>
  </sheetData>
  <sheetProtection/>
  <mergeCells count="16">
    <mergeCell ref="I9:I10"/>
    <mergeCell ref="J9:J10"/>
    <mergeCell ref="E9:E10"/>
    <mergeCell ref="F9:F10"/>
    <mergeCell ref="G9:G10"/>
    <mergeCell ref="H9:H10"/>
    <mergeCell ref="H1:L1"/>
    <mergeCell ref="A2:L4"/>
    <mergeCell ref="K7:L7"/>
    <mergeCell ref="A8:A10"/>
    <mergeCell ref="B8:B10"/>
    <mergeCell ref="C8:C10"/>
    <mergeCell ref="D8:D10"/>
    <mergeCell ref="E8:J8"/>
    <mergeCell ref="K8:K10"/>
    <mergeCell ref="L8:L10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zoomScalePageLayoutView="0" workbookViewId="0" topLeftCell="A7">
      <selection activeCell="L2" sqref="L2"/>
    </sheetView>
  </sheetViews>
  <sheetFormatPr defaultColWidth="9.140625" defaultRowHeight="12.75"/>
  <cols>
    <col min="1" max="1" width="17.7109375" style="2117" customWidth="1"/>
    <col min="2" max="7" width="9.00390625" style="2117" customWidth="1"/>
    <col min="8" max="8" width="8.57421875" style="2117" customWidth="1"/>
    <col min="9" max="9" width="9.00390625" style="2117" customWidth="1"/>
    <col min="10" max="11" width="7.421875" style="2117" customWidth="1"/>
    <col min="12" max="16" width="9.00390625" style="2117" customWidth="1"/>
  </cols>
  <sheetData>
    <row r="1" spans="12:16" ht="12.75">
      <c r="L1" s="2427" t="s">
        <v>2114</v>
      </c>
      <c r="M1" s="2427"/>
      <c r="N1" s="2427"/>
      <c r="O1" s="2427"/>
      <c r="P1" s="2427"/>
    </row>
    <row r="3" spans="1:16" ht="12.75">
      <c r="A3" s="2424" t="s">
        <v>2198</v>
      </c>
      <c r="B3" s="2424"/>
      <c r="C3" s="2424"/>
      <c r="D3" s="2424"/>
      <c r="E3" s="2424"/>
      <c r="F3" s="2424"/>
      <c r="G3" s="2424"/>
      <c r="H3" s="2424"/>
      <c r="I3" s="2424"/>
      <c r="J3" s="2424"/>
      <c r="K3" s="2424"/>
      <c r="L3" s="2424"/>
      <c r="M3" s="2424"/>
      <c r="N3" s="2424"/>
      <c r="O3" s="2424"/>
      <c r="P3" s="2424"/>
    </row>
    <row r="4" spans="1:16" ht="12.75">
      <c r="A4" s="2424"/>
      <c r="B4" s="2424"/>
      <c r="C4" s="2424"/>
      <c r="D4" s="2424"/>
      <c r="E4" s="2424"/>
      <c r="F4" s="2424"/>
      <c r="G4" s="2424"/>
      <c r="H4" s="2424"/>
      <c r="I4" s="2424"/>
      <c r="J4" s="2424"/>
      <c r="K4" s="2424"/>
      <c r="L4" s="2424"/>
      <c r="M4" s="2424"/>
      <c r="N4" s="2424"/>
      <c r="O4" s="2424"/>
      <c r="P4" s="2424"/>
    </row>
    <row r="5" spans="1:16" ht="12.75">
      <c r="A5" s="2424"/>
      <c r="B5" s="2424"/>
      <c r="C5" s="2424"/>
      <c r="D5" s="2424"/>
      <c r="E5" s="2424"/>
      <c r="F5" s="2424"/>
      <c r="G5" s="2424"/>
      <c r="H5" s="2424"/>
      <c r="I5" s="2424"/>
      <c r="J5" s="2424"/>
      <c r="K5" s="2424"/>
      <c r="L5" s="2424"/>
      <c r="M5" s="2424"/>
      <c r="N5" s="2424"/>
      <c r="O5" s="2424"/>
      <c r="P5" s="2424"/>
    </row>
    <row r="7" spans="15:16" ht="12.75">
      <c r="O7" s="2428" t="s">
        <v>1371</v>
      </c>
      <c r="P7" s="2428"/>
    </row>
    <row r="8" spans="1:16" s="2080" customFormat="1" ht="12.75">
      <c r="A8" s="2291" t="s">
        <v>2172</v>
      </c>
      <c r="B8" s="2291" t="s">
        <v>333</v>
      </c>
      <c r="C8" s="2291" t="s">
        <v>1390</v>
      </c>
      <c r="D8" s="2291" t="s">
        <v>334</v>
      </c>
      <c r="E8" s="2291" t="s">
        <v>335</v>
      </c>
      <c r="F8" s="2291" t="s">
        <v>336</v>
      </c>
      <c r="G8" s="2291" t="s">
        <v>337</v>
      </c>
      <c r="H8" s="2429" t="s">
        <v>338</v>
      </c>
      <c r="I8" s="2429" t="s">
        <v>339</v>
      </c>
      <c r="J8" s="2291" t="s">
        <v>340</v>
      </c>
      <c r="K8" s="2291" t="s">
        <v>341</v>
      </c>
      <c r="L8" s="2291" t="s">
        <v>342</v>
      </c>
      <c r="M8" s="2291" t="s">
        <v>343</v>
      </c>
      <c r="N8" s="2291" t="s">
        <v>344</v>
      </c>
      <c r="O8" s="2291" t="s">
        <v>1668</v>
      </c>
      <c r="P8" s="2291" t="s">
        <v>1669</v>
      </c>
    </row>
    <row r="9" spans="1:16" s="2080" customFormat="1" ht="12.75">
      <c r="A9" s="2291"/>
      <c r="B9" s="2291"/>
      <c r="C9" s="2291"/>
      <c r="D9" s="2291"/>
      <c r="E9" s="2291"/>
      <c r="F9" s="2291"/>
      <c r="G9" s="2291"/>
      <c r="H9" s="2430"/>
      <c r="I9" s="2430"/>
      <c r="J9" s="2291"/>
      <c r="K9" s="2291"/>
      <c r="L9" s="2291"/>
      <c r="M9" s="2291"/>
      <c r="N9" s="2291"/>
      <c r="O9" s="2291"/>
      <c r="P9" s="2291"/>
    </row>
    <row r="10" spans="1:16" s="2080" customFormat="1" ht="22.5" customHeight="1">
      <c r="A10" s="2291"/>
      <c r="B10" s="2291"/>
      <c r="C10" s="2291"/>
      <c r="D10" s="2291"/>
      <c r="E10" s="2291"/>
      <c r="F10" s="2291"/>
      <c r="G10" s="2291"/>
      <c r="H10" s="2431"/>
      <c r="I10" s="2431"/>
      <c r="J10" s="2291"/>
      <c r="K10" s="2291"/>
      <c r="L10" s="2291"/>
      <c r="M10" s="2291"/>
      <c r="N10" s="2291"/>
      <c r="O10" s="2291"/>
      <c r="P10" s="2291"/>
    </row>
    <row r="11" spans="1:16" ht="24">
      <c r="A11" s="2088" t="s">
        <v>2185</v>
      </c>
      <c r="B11" s="2113">
        <f>SUM(B12)</f>
        <v>774</v>
      </c>
      <c r="C11" s="2113">
        <f aca="true" t="shared" si="0" ref="C11:P11">SUM(C12:C16)</f>
        <v>199</v>
      </c>
      <c r="D11" s="2113">
        <f t="shared" si="0"/>
        <v>973</v>
      </c>
      <c r="E11" s="2113">
        <f t="shared" si="0"/>
        <v>0</v>
      </c>
      <c r="F11" s="2113">
        <f t="shared" si="0"/>
        <v>0</v>
      </c>
      <c r="G11" s="2113">
        <f t="shared" si="0"/>
        <v>0</v>
      </c>
      <c r="H11" s="2113">
        <f t="shared" si="0"/>
        <v>0</v>
      </c>
      <c r="I11" s="2113">
        <f t="shared" si="0"/>
        <v>0</v>
      </c>
      <c r="J11" s="2113">
        <f t="shared" si="0"/>
        <v>0</v>
      </c>
      <c r="K11" s="2113">
        <f t="shared" si="0"/>
        <v>0</v>
      </c>
      <c r="L11" s="2113">
        <f t="shared" si="0"/>
        <v>0</v>
      </c>
      <c r="M11" s="2113">
        <f t="shared" si="0"/>
        <v>0</v>
      </c>
      <c r="N11" s="2113">
        <f t="shared" si="0"/>
        <v>0</v>
      </c>
      <c r="O11" s="2113">
        <f t="shared" si="0"/>
        <v>0</v>
      </c>
      <c r="P11" s="2113">
        <f t="shared" si="0"/>
        <v>0</v>
      </c>
    </row>
    <row r="12" spans="1:16" ht="12.75">
      <c r="A12" s="2085" t="s">
        <v>2186</v>
      </c>
      <c r="B12" s="2111">
        <v>774</v>
      </c>
      <c r="C12" s="2111">
        <v>199</v>
      </c>
      <c r="D12" s="2111">
        <f>SUM(B12:C12)</f>
        <v>973</v>
      </c>
      <c r="E12" s="2111"/>
      <c r="F12" s="2111"/>
      <c r="G12" s="2111"/>
      <c r="H12" s="2111"/>
      <c r="I12" s="2111"/>
      <c r="J12" s="2111"/>
      <c r="K12" s="2111"/>
      <c r="L12" s="2111"/>
      <c r="M12" s="2111"/>
      <c r="N12" s="2111"/>
      <c r="O12" s="2111"/>
      <c r="P12" s="2111">
        <f aca="true" t="shared" si="1" ref="P12:P17">SUM(E12:O12)</f>
        <v>0</v>
      </c>
    </row>
    <row r="13" spans="1:16" ht="12.75">
      <c r="A13" s="2085" t="s">
        <v>2187</v>
      </c>
      <c r="B13" s="2111"/>
      <c r="C13" s="2111"/>
      <c r="D13" s="2111">
        <f aca="true" t="shared" si="2" ref="D13:D27">SUM(B13:C13)</f>
        <v>0</v>
      </c>
      <c r="E13" s="2111"/>
      <c r="F13" s="2111"/>
      <c r="G13" s="2111"/>
      <c r="H13" s="2111"/>
      <c r="I13" s="2111"/>
      <c r="J13" s="2111"/>
      <c r="K13" s="2111"/>
      <c r="L13" s="2111"/>
      <c r="M13" s="2111"/>
      <c r="N13" s="2111"/>
      <c r="O13" s="2111"/>
      <c r="P13" s="2111">
        <f t="shared" si="1"/>
        <v>0</v>
      </c>
    </row>
    <row r="14" spans="1:16" ht="12.75">
      <c r="A14" s="2085" t="s">
        <v>330</v>
      </c>
      <c r="B14" s="2111"/>
      <c r="C14" s="2111"/>
      <c r="D14" s="2111">
        <f t="shared" si="2"/>
        <v>0</v>
      </c>
      <c r="E14" s="2111"/>
      <c r="F14" s="2111"/>
      <c r="G14" s="2111"/>
      <c r="H14" s="2111"/>
      <c r="I14" s="2111"/>
      <c r="J14" s="2111"/>
      <c r="K14" s="2111"/>
      <c r="L14" s="2111"/>
      <c r="M14" s="2111"/>
      <c r="N14" s="2111"/>
      <c r="O14" s="2111"/>
      <c r="P14" s="2111">
        <f t="shared" si="1"/>
        <v>0</v>
      </c>
    </row>
    <row r="15" spans="1:16" ht="12.75">
      <c r="A15" s="2085" t="s">
        <v>100</v>
      </c>
      <c r="B15" s="2111"/>
      <c r="C15" s="2111"/>
      <c r="D15" s="2111">
        <f t="shared" si="2"/>
        <v>0</v>
      </c>
      <c r="E15" s="2111"/>
      <c r="F15" s="2111"/>
      <c r="G15" s="2111"/>
      <c r="H15" s="2111"/>
      <c r="I15" s="2111"/>
      <c r="J15" s="2111"/>
      <c r="K15" s="2111"/>
      <c r="L15" s="2111"/>
      <c r="M15" s="2111"/>
      <c r="N15" s="2111"/>
      <c r="O15" s="2111"/>
      <c r="P15" s="2111">
        <f t="shared" si="1"/>
        <v>0</v>
      </c>
    </row>
    <row r="16" spans="1:16" ht="24">
      <c r="A16" s="2090" t="s">
        <v>82</v>
      </c>
      <c r="B16" s="2111"/>
      <c r="C16" s="2111"/>
      <c r="D16" s="2111">
        <f t="shared" si="2"/>
        <v>0</v>
      </c>
      <c r="E16" s="2111"/>
      <c r="F16" s="2111"/>
      <c r="G16" s="2111"/>
      <c r="H16" s="2111"/>
      <c r="I16" s="2111"/>
      <c r="J16" s="2111"/>
      <c r="K16" s="2111"/>
      <c r="L16" s="2111"/>
      <c r="M16" s="2111"/>
      <c r="N16" s="2111"/>
      <c r="O16" s="2111"/>
      <c r="P16" s="2111">
        <f t="shared" si="1"/>
        <v>0</v>
      </c>
    </row>
    <row r="17" spans="1:16" ht="12.75">
      <c r="A17" s="2085" t="s">
        <v>2189</v>
      </c>
      <c r="B17" s="2111"/>
      <c r="C17" s="2111"/>
      <c r="D17" s="2111">
        <f t="shared" si="2"/>
        <v>0</v>
      </c>
      <c r="E17" s="2111"/>
      <c r="F17" s="2111"/>
      <c r="G17" s="2111"/>
      <c r="H17" s="2111"/>
      <c r="I17" s="2111"/>
      <c r="J17" s="2111"/>
      <c r="K17" s="2111"/>
      <c r="L17" s="2111"/>
      <c r="M17" s="2111"/>
      <c r="N17" s="2111"/>
      <c r="O17" s="2111"/>
      <c r="P17" s="2111">
        <f t="shared" si="1"/>
        <v>0</v>
      </c>
    </row>
    <row r="18" spans="1:16" ht="24">
      <c r="A18" s="2088" t="s">
        <v>2190</v>
      </c>
      <c r="B18" s="2113">
        <f>SUM(B19:B21)</f>
        <v>0</v>
      </c>
      <c r="C18" s="2113">
        <f aca="true" t="shared" si="3" ref="C18:P18">SUM(C19:C21)</f>
        <v>0</v>
      </c>
      <c r="D18" s="2113">
        <f t="shared" si="2"/>
        <v>0</v>
      </c>
      <c r="E18" s="2113">
        <f t="shared" si="3"/>
        <v>0</v>
      </c>
      <c r="F18" s="2113">
        <f t="shared" si="3"/>
        <v>0</v>
      </c>
      <c r="G18" s="2113">
        <f t="shared" si="3"/>
        <v>0</v>
      </c>
      <c r="H18" s="2113">
        <f t="shared" si="3"/>
        <v>0</v>
      </c>
      <c r="I18" s="2113">
        <f t="shared" si="3"/>
        <v>0</v>
      </c>
      <c r="J18" s="2113">
        <f t="shared" si="3"/>
        <v>0</v>
      </c>
      <c r="K18" s="2113">
        <f t="shared" si="3"/>
        <v>0</v>
      </c>
      <c r="L18" s="2113">
        <f t="shared" si="3"/>
        <v>0</v>
      </c>
      <c r="M18" s="2113">
        <f t="shared" si="3"/>
        <v>0</v>
      </c>
      <c r="N18" s="2113">
        <f t="shared" si="3"/>
        <v>0</v>
      </c>
      <c r="O18" s="2113">
        <f t="shared" si="3"/>
        <v>0</v>
      </c>
      <c r="P18" s="2113">
        <f t="shared" si="3"/>
        <v>0</v>
      </c>
    </row>
    <row r="19" spans="1:16" ht="12.75">
      <c r="A19" s="2085" t="s">
        <v>921</v>
      </c>
      <c r="B19" s="2111"/>
      <c r="C19" s="2111"/>
      <c r="D19" s="2111">
        <f t="shared" si="2"/>
        <v>0</v>
      </c>
      <c r="E19" s="2111"/>
      <c r="F19" s="2111"/>
      <c r="G19" s="2111"/>
      <c r="H19" s="2111"/>
      <c r="I19" s="2111"/>
      <c r="J19" s="2111"/>
      <c r="K19" s="2111"/>
      <c r="L19" s="2111"/>
      <c r="M19" s="2111"/>
      <c r="N19" s="2111"/>
      <c r="O19" s="2111"/>
      <c r="P19" s="2111">
        <f>SUM(E19:O19)</f>
        <v>0</v>
      </c>
    </row>
    <row r="20" spans="1:16" ht="12.75">
      <c r="A20" s="2085" t="s">
        <v>2191</v>
      </c>
      <c r="B20" s="2111"/>
      <c r="C20" s="2111"/>
      <c r="D20" s="2111">
        <f t="shared" si="2"/>
        <v>0</v>
      </c>
      <c r="E20" s="2111"/>
      <c r="F20" s="2111"/>
      <c r="G20" s="2111"/>
      <c r="H20" s="2111"/>
      <c r="I20" s="2111"/>
      <c r="J20" s="2111"/>
      <c r="K20" s="2111"/>
      <c r="L20" s="2111"/>
      <c r="M20" s="2111"/>
      <c r="N20" s="2111"/>
      <c r="O20" s="2111"/>
      <c r="P20" s="2111">
        <f>SUM(E20:O20)</f>
        <v>0</v>
      </c>
    </row>
    <row r="21" spans="1:16" ht="12.75">
      <c r="A21" s="2085" t="s">
        <v>925</v>
      </c>
      <c r="B21" s="2113"/>
      <c r="C21" s="2113"/>
      <c r="D21" s="2111">
        <f t="shared" si="2"/>
        <v>0</v>
      </c>
      <c r="E21" s="2113"/>
      <c r="F21" s="2113"/>
      <c r="G21" s="2113"/>
      <c r="H21" s="2113"/>
      <c r="I21" s="2113"/>
      <c r="J21" s="2113"/>
      <c r="K21" s="2113"/>
      <c r="L21" s="2113"/>
      <c r="M21" s="2113"/>
      <c r="N21" s="2113"/>
      <c r="O21" s="2113"/>
      <c r="P21" s="2111">
        <f>SUM(E21:O21)</f>
        <v>0</v>
      </c>
    </row>
    <row r="22" spans="1:16" ht="24">
      <c r="A22" s="2088" t="s">
        <v>2192</v>
      </c>
      <c r="B22" s="2113">
        <f>SUM(B23:B24)</f>
        <v>0</v>
      </c>
      <c r="C22" s="2113">
        <f>SUM(C23:C24)</f>
        <v>0</v>
      </c>
      <c r="D22" s="2113">
        <f t="shared" si="2"/>
        <v>0</v>
      </c>
      <c r="E22" s="2113">
        <f aca="true" t="shared" si="4" ref="E22:P22">SUM(E23:E24)</f>
        <v>0</v>
      </c>
      <c r="F22" s="2113">
        <f t="shared" si="4"/>
        <v>0</v>
      </c>
      <c r="G22" s="2113">
        <f t="shared" si="4"/>
        <v>0</v>
      </c>
      <c r="H22" s="2113">
        <f t="shared" si="4"/>
        <v>0</v>
      </c>
      <c r="I22" s="2113">
        <f t="shared" si="4"/>
        <v>0</v>
      </c>
      <c r="J22" s="2113">
        <f t="shared" si="4"/>
        <v>0</v>
      </c>
      <c r="K22" s="2113">
        <f t="shared" si="4"/>
        <v>0</v>
      </c>
      <c r="L22" s="2113">
        <f t="shared" si="4"/>
        <v>0</v>
      </c>
      <c r="M22" s="2113">
        <f t="shared" si="4"/>
        <v>0</v>
      </c>
      <c r="N22" s="2113">
        <f t="shared" si="4"/>
        <v>0</v>
      </c>
      <c r="O22" s="2113">
        <f t="shared" si="4"/>
        <v>0</v>
      </c>
      <c r="P22" s="2113">
        <f t="shared" si="4"/>
        <v>0</v>
      </c>
    </row>
    <row r="23" spans="1:16" ht="12.75">
      <c r="A23" s="2085" t="s">
        <v>2193</v>
      </c>
      <c r="B23" s="2113"/>
      <c r="C23" s="2113"/>
      <c r="D23" s="2111">
        <f t="shared" si="2"/>
        <v>0</v>
      </c>
      <c r="E23" s="2113"/>
      <c r="F23" s="2113"/>
      <c r="G23" s="2113"/>
      <c r="H23" s="2113"/>
      <c r="I23" s="2113"/>
      <c r="J23" s="2113"/>
      <c r="K23" s="2113"/>
      <c r="L23" s="2113"/>
      <c r="M23" s="2113"/>
      <c r="N23" s="2113"/>
      <c r="O23" s="2113"/>
      <c r="P23" s="2111">
        <f>SUM(E23:O23)</f>
        <v>0</v>
      </c>
    </row>
    <row r="24" spans="1:16" ht="12.75">
      <c r="A24" s="2085" t="s">
        <v>2194</v>
      </c>
      <c r="B24" s="2111"/>
      <c r="C24" s="2111"/>
      <c r="D24" s="2111">
        <f t="shared" si="2"/>
        <v>0</v>
      </c>
      <c r="E24" s="2111"/>
      <c r="F24" s="2111"/>
      <c r="G24" s="2111"/>
      <c r="H24" s="2111"/>
      <c r="I24" s="2111"/>
      <c r="J24" s="2111"/>
      <c r="K24" s="2111"/>
      <c r="L24" s="2111"/>
      <c r="M24" s="2111"/>
      <c r="N24" s="2111"/>
      <c r="O24" s="2111"/>
      <c r="P24" s="2111">
        <f>SUM(E24:O24)</f>
        <v>0</v>
      </c>
    </row>
    <row r="25" spans="1:16" ht="12.75">
      <c r="A25" s="2110" t="s">
        <v>2196</v>
      </c>
      <c r="B25" s="2111">
        <v>0</v>
      </c>
      <c r="C25" s="2111">
        <v>0</v>
      </c>
      <c r="D25" s="2111">
        <v>0</v>
      </c>
      <c r="E25" s="2111"/>
      <c r="F25" s="2111"/>
      <c r="G25" s="2111"/>
      <c r="H25" s="2111"/>
      <c r="I25" s="2111"/>
      <c r="J25" s="2111"/>
      <c r="K25" s="2111"/>
      <c r="L25" s="2111"/>
      <c r="M25" s="2111"/>
      <c r="N25" s="2111"/>
      <c r="O25" s="2111"/>
      <c r="P25" s="2111"/>
    </row>
    <row r="26" spans="1:16" ht="12.75">
      <c r="A26" s="2091" t="s">
        <v>2195</v>
      </c>
      <c r="B26" s="2113">
        <f>SUM(B11+B18+B22+B25)</f>
        <v>774</v>
      </c>
      <c r="C26" s="2113">
        <f aca="true" t="shared" si="5" ref="C26:P26">SUM(C11+C18+C22+C25)</f>
        <v>199</v>
      </c>
      <c r="D26" s="2113">
        <f t="shared" si="5"/>
        <v>973</v>
      </c>
      <c r="E26" s="2113">
        <f t="shared" si="5"/>
        <v>0</v>
      </c>
      <c r="F26" s="2113">
        <f t="shared" si="5"/>
        <v>0</v>
      </c>
      <c r="G26" s="2113">
        <f t="shared" si="5"/>
        <v>0</v>
      </c>
      <c r="H26" s="2113">
        <f t="shared" si="5"/>
        <v>0</v>
      </c>
      <c r="I26" s="2113">
        <f t="shared" si="5"/>
        <v>0</v>
      </c>
      <c r="J26" s="2113">
        <f t="shared" si="5"/>
        <v>0</v>
      </c>
      <c r="K26" s="2113">
        <f t="shared" si="5"/>
        <v>0</v>
      </c>
      <c r="L26" s="2113">
        <f t="shared" si="5"/>
        <v>0</v>
      </c>
      <c r="M26" s="2113">
        <f t="shared" si="5"/>
        <v>0</v>
      </c>
      <c r="N26" s="2113">
        <f t="shared" si="5"/>
        <v>0</v>
      </c>
      <c r="O26" s="2113">
        <f t="shared" si="5"/>
        <v>0</v>
      </c>
      <c r="P26" s="2113">
        <f t="shared" si="5"/>
        <v>0</v>
      </c>
    </row>
    <row r="27" spans="1:16" ht="12.75">
      <c r="A27" s="2110" t="s">
        <v>1634</v>
      </c>
      <c r="B27" s="2111"/>
      <c r="C27" s="2111"/>
      <c r="D27" s="2111">
        <f t="shared" si="2"/>
        <v>0</v>
      </c>
      <c r="E27" s="2111">
        <v>0</v>
      </c>
      <c r="F27" s="2111">
        <f>12876+322</f>
        <v>13198</v>
      </c>
      <c r="G27" s="2111">
        <v>8398</v>
      </c>
      <c r="H27" s="2111">
        <v>5005</v>
      </c>
      <c r="I27" s="2111">
        <v>1066</v>
      </c>
      <c r="J27" s="2111">
        <v>4133</v>
      </c>
      <c r="K27" s="2111">
        <v>7112</v>
      </c>
      <c r="L27" s="2111">
        <f>SUM(E27:K27)</f>
        <v>38912</v>
      </c>
      <c r="M27" s="2111">
        <v>2704</v>
      </c>
      <c r="N27" s="2111">
        <v>0</v>
      </c>
      <c r="O27" s="2111">
        <f>M27</f>
        <v>2704</v>
      </c>
      <c r="P27" s="2111">
        <f>SUM(L27+O27)</f>
        <v>41616</v>
      </c>
    </row>
    <row r="28" spans="1:16" ht="12.75">
      <c r="A28" s="2091" t="s">
        <v>2197</v>
      </c>
      <c r="B28" s="2118">
        <f>SUM(B26:B27)</f>
        <v>774</v>
      </c>
      <c r="C28" s="2118">
        <f aca="true" t="shared" si="6" ref="C28:O28">SUM(C26:C27)</f>
        <v>199</v>
      </c>
      <c r="D28" s="2118">
        <f t="shared" si="6"/>
        <v>973</v>
      </c>
      <c r="E28" s="2118">
        <f t="shared" si="6"/>
        <v>0</v>
      </c>
      <c r="F28" s="2118">
        <f>SUM(F26:F27)</f>
        <v>13198</v>
      </c>
      <c r="G28" s="2118">
        <f>SUM(G26:G27)</f>
        <v>8398</v>
      </c>
      <c r="H28" s="2118">
        <f>SUM(H26:H27)</f>
        <v>5005</v>
      </c>
      <c r="I28" s="2118">
        <f>SUM(I26:I27)</f>
        <v>1066</v>
      </c>
      <c r="J28" s="2118">
        <f t="shared" si="6"/>
        <v>4133</v>
      </c>
      <c r="K28" s="2118">
        <f t="shared" si="6"/>
        <v>7112</v>
      </c>
      <c r="L28" s="2118">
        <f>SUM(L26:L27)</f>
        <v>38912</v>
      </c>
      <c r="M28" s="2118">
        <f t="shared" si="6"/>
        <v>2704</v>
      </c>
      <c r="N28" s="2118">
        <f t="shared" si="6"/>
        <v>0</v>
      </c>
      <c r="O28" s="2118">
        <f t="shared" si="6"/>
        <v>2704</v>
      </c>
      <c r="P28" s="2118">
        <f>SUM(L28+O28)</f>
        <v>41616</v>
      </c>
    </row>
    <row r="29" spans="2:16" ht="12.75">
      <c r="B29" s="2119"/>
      <c r="C29" s="2119"/>
      <c r="D29" s="2118"/>
      <c r="E29" s="2119"/>
      <c r="F29" s="2119"/>
      <c r="G29" s="2119"/>
      <c r="H29" s="2119"/>
      <c r="I29" s="2119"/>
      <c r="J29" s="2119"/>
      <c r="K29" s="2119"/>
      <c r="L29" s="2119"/>
      <c r="M29" s="2119"/>
      <c r="N29" s="2119"/>
      <c r="O29" s="2119"/>
      <c r="P29" s="2119"/>
    </row>
    <row r="30" spans="1:16" ht="12.75">
      <c r="A30" s="2120"/>
      <c r="B30" s="2120"/>
      <c r="C30" s="2120"/>
      <c r="D30" s="2120"/>
      <c r="E30" s="2120"/>
      <c r="F30" s="2120"/>
      <c r="G30" s="2120"/>
      <c r="H30" s="2120"/>
      <c r="I30" s="2120"/>
      <c r="J30" s="2120"/>
      <c r="K30" s="2120"/>
      <c r="L30" s="2120"/>
      <c r="M30" s="2120"/>
      <c r="N30" s="2120"/>
      <c r="O30" s="2120"/>
      <c r="P30" s="2120"/>
    </row>
  </sheetData>
  <sheetProtection/>
  <mergeCells count="19">
    <mergeCell ref="I8:I10"/>
    <mergeCell ref="H8:H10"/>
    <mergeCell ref="J8:J10"/>
    <mergeCell ref="P8:P10"/>
    <mergeCell ref="L8:L10"/>
    <mergeCell ref="M8:M10"/>
    <mergeCell ref="N8:N10"/>
    <mergeCell ref="O8:O10"/>
    <mergeCell ref="K8:K10"/>
    <mergeCell ref="G8:G10"/>
    <mergeCell ref="L1:P1"/>
    <mergeCell ref="A3:P5"/>
    <mergeCell ref="O7:P7"/>
    <mergeCell ref="A8:A10"/>
    <mergeCell ref="B8:B10"/>
    <mergeCell ref="C8:C10"/>
    <mergeCell ref="D8:D10"/>
    <mergeCell ref="E8:E10"/>
    <mergeCell ref="F8:F10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4">
      <selection activeCell="A6" sqref="A6"/>
    </sheetView>
  </sheetViews>
  <sheetFormatPr defaultColWidth="9.140625" defaultRowHeight="12.75"/>
  <cols>
    <col min="1" max="1" width="17.7109375" style="0" customWidth="1"/>
    <col min="2" max="10" width="11.7109375" style="0" customWidth="1"/>
  </cols>
  <sheetData>
    <row r="1" spans="9:10" ht="12.75">
      <c r="I1" s="2423" t="s">
        <v>2115</v>
      </c>
      <c r="J1" s="2423"/>
    </row>
    <row r="3" spans="1:11" ht="12.75" customHeight="1">
      <c r="A3" s="2424" t="s">
        <v>2116</v>
      </c>
      <c r="B3" s="2424"/>
      <c r="C3" s="2424"/>
      <c r="D3" s="2424"/>
      <c r="E3" s="2424"/>
      <c r="F3" s="2424"/>
      <c r="G3" s="2424"/>
      <c r="H3" s="2424"/>
      <c r="I3" s="2424"/>
      <c r="J3" s="2424"/>
      <c r="K3" s="2121"/>
    </row>
    <row r="4" spans="1:11" ht="12.75">
      <c r="A4" s="2424"/>
      <c r="B4" s="2424"/>
      <c r="C4" s="2424"/>
      <c r="D4" s="2424"/>
      <c r="E4" s="2424"/>
      <c r="F4" s="2424"/>
      <c r="G4" s="2424"/>
      <c r="H4" s="2424"/>
      <c r="I4" s="2424"/>
      <c r="J4" s="2424"/>
      <c r="K4" s="2121"/>
    </row>
    <row r="5" spans="1:11" ht="12.75">
      <c r="A5" s="2424"/>
      <c r="B5" s="2424"/>
      <c r="C5" s="2424"/>
      <c r="D5" s="2424"/>
      <c r="E5" s="2424"/>
      <c r="F5" s="2424"/>
      <c r="G5" s="2424"/>
      <c r="H5" s="2424"/>
      <c r="I5" s="2424"/>
      <c r="J5" s="2424"/>
      <c r="K5" s="2121"/>
    </row>
    <row r="7" spans="9:10" ht="12.75">
      <c r="I7" s="2437" t="s">
        <v>1371</v>
      </c>
      <c r="J7" s="2437"/>
    </row>
    <row r="8" spans="1:10" s="2080" customFormat="1" ht="12.75">
      <c r="A8" s="2291" t="s">
        <v>2172</v>
      </c>
      <c r="B8" s="2432" t="s">
        <v>1670</v>
      </c>
      <c r="C8" s="2432" t="s">
        <v>1671</v>
      </c>
      <c r="D8" s="2433" t="s">
        <v>1672</v>
      </c>
      <c r="E8" s="2432" t="s">
        <v>1673</v>
      </c>
      <c r="F8" s="2432" t="s">
        <v>1674</v>
      </c>
      <c r="G8" s="2432" t="s">
        <v>1675</v>
      </c>
      <c r="H8" s="2436" t="s">
        <v>1676</v>
      </c>
      <c r="I8" s="2432" t="s">
        <v>1677</v>
      </c>
      <c r="J8" s="2432" t="s">
        <v>1678</v>
      </c>
    </row>
    <row r="9" spans="1:10" s="2080" customFormat="1" ht="12.75">
      <c r="A9" s="2291"/>
      <c r="B9" s="2432"/>
      <c r="C9" s="2432"/>
      <c r="D9" s="2434"/>
      <c r="E9" s="2432"/>
      <c r="F9" s="2432"/>
      <c r="G9" s="2432"/>
      <c r="H9" s="2436"/>
      <c r="I9" s="2432"/>
      <c r="J9" s="2432"/>
    </row>
    <row r="10" spans="1:10" s="2080" customFormat="1" ht="12.75">
      <c r="A10" s="2291"/>
      <c r="B10" s="2432"/>
      <c r="C10" s="2432"/>
      <c r="D10" s="2435"/>
      <c r="E10" s="2432"/>
      <c r="F10" s="2432"/>
      <c r="G10" s="2432"/>
      <c r="H10" s="2436"/>
      <c r="I10" s="2432"/>
      <c r="J10" s="2432"/>
    </row>
    <row r="11" spans="1:10" ht="24">
      <c r="A11" s="2088" t="s">
        <v>2185</v>
      </c>
      <c r="B11" s="2108">
        <f aca="true" t="shared" si="0" ref="B11:G11">SUM(B12:B17)</f>
        <v>0</v>
      </c>
      <c r="C11" s="2108">
        <f t="shared" si="0"/>
        <v>4489</v>
      </c>
      <c r="D11" s="2108">
        <f t="shared" si="0"/>
        <v>0</v>
      </c>
      <c r="E11" s="2108">
        <f t="shared" si="0"/>
        <v>4489</v>
      </c>
      <c r="F11" s="2108">
        <f t="shared" si="0"/>
        <v>0</v>
      </c>
      <c r="G11" s="2108">
        <f t="shared" si="0"/>
        <v>2249</v>
      </c>
      <c r="H11" s="2108">
        <f>SUM(F11:G11)</f>
        <v>2249</v>
      </c>
      <c r="I11" s="2108">
        <f>'7.3.'!D11+'7.3.'!P11+'7.4.'!E11+'7.4.'!H11</f>
        <v>7711</v>
      </c>
      <c r="J11" s="2108">
        <f>'7.2.'!L11+'7.4.'!I11</f>
        <v>7860</v>
      </c>
    </row>
    <row r="12" spans="1:10" ht="12.75">
      <c r="A12" s="2085" t="s">
        <v>2186</v>
      </c>
      <c r="B12" s="2109">
        <v>0</v>
      </c>
      <c r="C12" s="2109">
        <v>4489</v>
      </c>
      <c r="D12" s="2109"/>
      <c r="E12" s="2109">
        <f aca="true" t="shared" si="1" ref="E12:E17">SUM(B12:D12)</f>
        <v>4489</v>
      </c>
      <c r="F12" s="2109"/>
      <c r="G12" s="2109">
        <v>2249</v>
      </c>
      <c r="H12" s="2109">
        <f aca="true" t="shared" si="2" ref="H12:H17">SUM(F12:G12)</f>
        <v>2249</v>
      </c>
      <c r="I12" s="2108">
        <f>'7.3.'!D12+'7.3.'!P12+'7.4.'!E12+'7.4.'!H12</f>
        <v>7711</v>
      </c>
      <c r="J12" s="2108">
        <f>'7.2.'!L12+'7.4.'!I12</f>
        <v>7860</v>
      </c>
    </row>
    <row r="13" spans="1:10" ht="12.75">
      <c r="A13" s="2085" t="s">
        <v>2187</v>
      </c>
      <c r="B13" s="2109"/>
      <c r="C13" s="2109"/>
      <c r="D13" s="2109"/>
      <c r="E13" s="2109">
        <f t="shared" si="1"/>
        <v>0</v>
      </c>
      <c r="F13" s="2109"/>
      <c r="G13" s="2109"/>
      <c r="H13" s="2109">
        <f t="shared" si="2"/>
        <v>0</v>
      </c>
      <c r="I13" s="2108">
        <f>'7.3.'!D13+'7.3.'!P13+'7.4.'!E13+'7.4.'!H13</f>
        <v>0</v>
      </c>
      <c r="J13" s="2108">
        <f>'7.2.'!L13+'7.4.'!I13</f>
        <v>0</v>
      </c>
    </row>
    <row r="14" spans="1:10" ht="12.75">
      <c r="A14" s="2085" t="s">
        <v>330</v>
      </c>
      <c r="B14" s="2109"/>
      <c r="C14" s="2109"/>
      <c r="D14" s="2109"/>
      <c r="E14" s="2109">
        <f t="shared" si="1"/>
        <v>0</v>
      </c>
      <c r="F14" s="2109"/>
      <c r="G14" s="2109"/>
      <c r="H14" s="2109">
        <f t="shared" si="2"/>
        <v>0</v>
      </c>
      <c r="I14" s="2108">
        <f>'7.3.'!D14+'7.3.'!P14+'7.4.'!E14+'7.4.'!H14</f>
        <v>0</v>
      </c>
      <c r="J14" s="2108">
        <f>'7.2.'!L14+'7.4.'!I14</f>
        <v>0</v>
      </c>
    </row>
    <row r="15" spans="1:12" ht="12.75">
      <c r="A15" s="2085" t="s">
        <v>100</v>
      </c>
      <c r="B15" s="2109"/>
      <c r="C15" s="2109"/>
      <c r="D15" s="2109"/>
      <c r="E15" s="2109">
        <f t="shared" si="1"/>
        <v>0</v>
      </c>
      <c r="F15" s="2109"/>
      <c r="G15" s="2109"/>
      <c r="H15" s="2109">
        <f t="shared" si="2"/>
        <v>0</v>
      </c>
      <c r="I15" s="2108">
        <f>'7.3.'!D15+'7.3.'!P15+'7.4.'!E15+'7.4.'!H15</f>
        <v>0</v>
      </c>
      <c r="J15" s="2108">
        <f>'7.2.'!L15+'7.4.'!I15</f>
        <v>0</v>
      </c>
      <c r="L15" s="2108">
        <f>SUM(L16:L21)</f>
        <v>0</v>
      </c>
    </row>
    <row r="16" spans="1:10" ht="24">
      <c r="A16" s="2085" t="s">
        <v>82</v>
      </c>
      <c r="B16" s="2109"/>
      <c r="C16" s="2109"/>
      <c r="D16" s="2109"/>
      <c r="E16" s="2109">
        <f t="shared" si="1"/>
        <v>0</v>
      </c>
      <c r="F16" s="2109"/>
      <c r="G16" s="2109"/>
      <c r="H16" s="2109">
        <f t="shared" si="2"/>
        <v>0</v>
      </c>
      <c r="I16" s="2108">
        <f>'7.3.'!D16+'7.3.'!P16+'7.4.'!E16+'7.4.'!H16</f>
        <v>0</v>
      </c>
      <c r="J16" s="2108">
        <f>'7.2.'!L16+'7.4.'!I16</f>
        <v>0</v>
      </c>
    </row>
    <row r="17" spans="1:10" ht="12.75">
      <c r="A17" s="2085" t="s">
        <v>2189</v>
      </c>
      <c r="B17" s="2109"/>
      <c r="C17" s="2109"/>
      <c r="D17" s="2109"/>
      <c r="E17" s="2109">
        <f t="shared" si="1"/>
        <v>0</v>
      </c>
      <c r="F17" s="2109"/>
      <c r="G17" s="2109"/>
      <c r="H17" s="2109">
        <f t="shared" si="2"/>
        <v>0</v>
      </c>
      <c r="I17" s="2108">
        <f>'7.3.'!D17+'7.3.'!P17+'7.4.'!E17+'7.4.'!H17</f>
        <v>0</v>
      </c>
      <c r="J17" s="2108">
        <f>'7.2.'!L17+'7.4.'!I17</f>
        <v>0</v>
      </c>
    </row>
    <row r="18" spans="1:10" ht="24">
      <c r="A18" s="2088" t="s">
        <v>2190</v>
      </c>
      <c r="B18" s="2108">
        <f>SUM(B19:B21)</f>
        <v>0</v>
      </c>
      <c r="C18" s="2108">
        <f aca="true" t="shared" si="3" ref="C18:H18">SUM(C19:C21)</f>
        <v>3225</v>
      </c>
      <c r="D18" s="2108">
        <f t="shared" si="3"/>
        <v>0</v>
      </c>
      <c r="E18" s="2108">
        <f t="shared" si="3"/>
        <v>3225</v>
      </c>
      <c r="F18" s="2108">
        <f t="shared" si="3"/>
        <v>0</v>
      </c>
      <c r="G18" s="2108">
        <f t="shared" si="3"/>
        <v>486</v>
      </c>
      <c r="H18" s="2108">
        <f t="shared" si="3"/>
        <v>486</v>
      </c>
      <c r="I18" s="2108">
        <f>'7.3.'!D18+'7.3.'!P18+'7.4.'!E18+'7.4.'!H18</f>
        <v>3711</v>
      </c>
      <c r="J18" s="2108">
        <f>'7.2.'!L18+'7.4.'!I18</f>
        <v>4428</v>
      </c>
    </row>
    <row r="19" spans="1:10" ht="12.75">
      <c r="A19" s="2085" t="s">
        <v>921</v>
      </c>
      <c r="B19" s="2109"/>
      <c r="C19" s="2109">
        <v>3225</v>
      </c>
      <c r="D19" s="2109"/>
      <c r="E19" s="2109">
        <f>SUM(B19:D19)</f>
        <v>3225</v>
      </c>
      <c r="F19" s="2109"/>
      <c r="G19" s="2109">
        <v>486</v>
      </c>
      <c r="H19" s="2109">
        <f>SUM(F19:G19)</f>
        <v>486</v>
      </c>
      <c r="I19" s="2108">
        <f>'7.3.'!D19+'7.3.'!P19+'7.4.'!E19+'7.4.'!H19</f>
        <v>3711</v>
      </c>
      <c r="J19" s="2108">
        <f>'7.2.'!L19+'7.4.'!I19</f>
        <v>4428</v>
      </c>
    </row>
    <row r="20" spans="1:10" ht="12.75">
      <c r="A20" s="2085" t="s">
        <v>2191</v>
      </c>
      <c r="B20" s="2109"/>
      <c r="C20" s="2109"/>
      <c r="D20" s="2109"/>
      <c r="E20" s="2109">
        <f>SUM(B20:D20)</f>
        <v>0</v>
      </c>
      <c r="F20" s="2109"/>
      <c r="G20" s="2109"/>
      <c r="H20" s="2109">
        <f>SUM(F20:G20)</f>
        <v>0</v>
      </c>
      <c r="I20" s="2108">
        <f>'7.3.'!D20+'7.3.'!P20+'7.4.'!E20+'7.4.'!H20</f>
        <v>0</v>
      </c>
      <c r="J20" s="2108">
        <f>'7.2.'!L20+'7.4.'!I20</f>
        <v>0</v>
      </c>
    </row>
    <row r="21" spans="1:10" ht="12.75">
      <c r="A21" s="2085" t="s">
        <v>925</v>
      </c>
      <c r="B21" s="2108"/>
      <c r="C21" s="2108"/>
      <c r="D21" s="2108"/>
      <c r="E21" s="2109">
        <f>SUM(B21:D21)</f>
        <v>0</v>
      </c>
      <c r="F21" s="2108"/>
      <c r="G21" s="2108"/>
      <c r="H21" s="2109">
        <f>SUM(F21:G21)</f>
        <v>0</v>
      </c>
      <c r="I21" s="2108">
        <f>'7.3.'!D21+'7.3.'!P21+'7.4.'!E21+'7.4.'!H21</f>
        <v>0</v>
      </c>
      <c r="J21" s="2108">
        <f>'7.2.'!L21+'7.4.'!I21</f>
        <v>0</v>
      </c>
    </row>
    <row r="22" spans="1:10" ht="24">
      <c r="A22" s="2088" t="s">
        <v>2192</v>
      </c>
      <c r="B22" s="2108">
        <f aca="true" t="shared" si="4" ref="B22:H22">SUM(B23:B24)</f>
        <v>0</v>
      </c>
      <c r="C22" s="2108">
        <f t="shared" si="4"/>
        <v>98</v>
      </c>
      <c r="D22" s="2108">
        <f t="shared" si="4"/>
        <v>0</v>
      </c>
      <c r="E22" s="2108">
        <f t="shared" si="4"/>
        <v>98</v>
      </c>
      <c r="F22" s="2108">
        <f t="shared" si="4"/>
        <v>0</v>
      </c>
      <c r="G22" s="2108">
        <f t="shared" si="4"/>
        <v>9</v>
      </c>
      <c r="H22" s="2108">
        <f t="shared" si="4"/>
        <v>9</v>
      </c>
      <c r="I22" s="2108">
        <f>'7.3.'!D22+'7.3.'!P22+'7.4.'!E22+'7.4.'!H22</f>
        <v>107</v>
      </c>
      <c r="J22" s="2108">
        <f>'7.2.'!L22+'7.4.'!I22</f>
        <v>107</v>
      </c>
    </row>
    <row r="23" spans="1:10" ht="12.75">
      <c r="A23" s="2085" t="s">
        <v>2193</v>
      </c>
      <c r="B23" s="2108"/>
      <c r="C23" s="2108"/>
      <c r="D23" s="2108"/>
      <c r="E23" s="2109">
        <f>SUM(B23:D23)</f>
        <v>0</v>
      </c>
      <c r="F23" s="2108"/>
      <c r="G23" s="2108"/>
      <c r="H23" s="2109">
        <f aca="true" t="shared" si="5" ref="H23:H28">SUM(F23:G23)</f>
        <v>0</v>
      </c>
      <c r="I23" s="2108">
        <f>'7.3.'!D23+'7.3.'!P23+'7.4.'!E23+'7.4.'!H23</f>
        <v>0</v>
      </c>
      <c r="J23" s="2108">
        <f>'7.2.'!L23+'7.4.'!I23</f>
        <v>0</v>
      </c>
    </row>
    <row r="24" spans="1:10" ht="12.75">
      <c r="A24" s="2085" t="s">
        <v>2194</v>
      </c>
      <c r="B24" s="2109"/>
      <c r="C24" s="2109">
        <v>98</v>
      </c>
      <c r="D24" s="2109"/>
      <c r="E24" s="2109">
        <f>SUM(B24:D24)</f>
        <v>98</v>
      </c>
      <c r="F24" s="2109"/>
      <c r="G24" s="2109">
        <v>9</v>
      </c>
      <c r="H24" s="2109">
        <f t="shared" si="5"/>
        <v>9</v>
      </c>
      <c r="I24" s="2108">
        <f>'7.3.'!D24+'7.3.'!P24+'7.4.'!E24+'7.4.'!H24</f>
        <v>107</v>
      </c>
      <c r="J24" s="2108">
        <f>'7.2.'!L24+'7.4.'!I24</f>
        <v>107</v>
      </c>
    </row>
    <row r="25" spans="1:10" ht="12.75">
      <c r="A25" s="2110" t="s">
        <v>2196</v>
      </c>
      <c r="B25" s="2108">
        <v>1</v>
      </c>
      <c r="C25" s="2108">
        <v>852</v>
      </c>
      <c r="D25" s="2108"/>
      <c r="E25" s="2108">
        <f>SUM(B25:D25)</f>
        <v>853</v>
      </c>
      <c r="F25" s="2108"/>
      <c r="G25" s="2108">
        <v>2241</v>
      </c>
      <c r="H25" s="2108"/>
      <c r="I25" s="2108">
        <f>'7.3.'!D25+'7.3.'!P25+'7.4.'!E25+'7.4.'!H25</f>
        <v>853</v>
      </c>
      <c r="J25" s="2108">
        <f>'7.2.'!L25+'7.4.'!I25</f>
        <v>853</v>
      </c>
    </row>
    <row r="26" spans="1:10" ht="12.75">
      <c r="A26" s="2088" t="s">
        <v>2195</v>
      </c>
      <c r="B26" s="2108">
        <f aca="true" t="shared" si="6" ref="B26:H26">SUM(B11+B18+B22+B25)</f>
        <v>1</v>
      </c>
      <c r="C26" s="2108">
        <f t="shared" si="6"/>
        <v>8664</v>
      </c>
      <c r="D26" s="2108">
        <f t="shared" si="6"/>
        <v>0</v>
      </c>
      <c r="E26" s="2108">
        <f t="shared" si="6"/>
        <v>8665</v>
      </c>
      <c r="F26" s="2108">
        <f t="shared" si="6"/>
        <v>0</v>
      </c>
      <c r="G26" s="2108">
        <f t="shared" si="6"/>
        <v>4985</v>
      </c>
      <c r="H26" s="2108">
        <f t="shared" si="6"/>
        <v>2744</v>
      </c>
      <c r="I26" s="2108">
        <f>'7.3.'!D26+'7.3.'!P26+'7.4.'!E26+'7.4.'!H26</f>
        <v>12382</v>
      </c>
      <c r="J26" s="2108">
        <f>'7.2.'!L26+'7.4.'!I26</f>
        <v>13248</v>
      </c>
    </row>
    <row r="27" spans="1:10" ht="12.75">
      <c r="A27" s="2085" t="s">
        <v>332</v>
      </c>
      <c r="B27" s="2109">
        <v>37</v>
      </c>
      <c r="C27" s="2109">
        <v>89960</v>
      </c>
      <c r="D27" s="2109">
        <v>138</v>
      </c>
      <c r="E27" s="2109">
        <f>SUM(B27:D27)</f>
        <v>90135</v>
      </c>
      <c r="F27" s="2109">
        <v>0</v>
      </c>
      <c r="G27" s="2109">
        <v>5841</v>
      </c>
      <c r="H27" s="2109">
        <f>SUM(F27:G27)</f>
        <v>5841</v>
      </c>
      <c r="I27" s="2108">
        <f>'7.3.'!D27+'7.3.'!P27+'7.4.'!E27+'7.4.'!H27</f>
        <v>137592</v>
      </c>
      <c r="J27" s="2108">
        <f>'7.2.'!L27+'7.4.'!I27</f>
        <v>10765140</v>
      </c>
    </row>
    <row r="28" spans="1:10" ht="12.75">
      <c r="A28" s="2092" t="s">
        <v>2197</v>
      </c>
      <c r="B28" s="2113">
        <f aca="true" t="shared" si="7" ref="B28:G28">SUM(B26:B27)</f>
        <v>38</v>
      </c>
      <c r="C28" s="2113">
        <f t="shared" si="7"/>
        <v>98624</v>
      </c>
      <c r="D28" s="2113">
        <f t="shared" si="7"/>
        <v>138</v>
      </c>
      <c r="E28" s="2113">
        <f t="shared" si="7"/>
        <v>98800</v>
      </c>
      <c r="F28" s="2113">
        <f t="shared" si="7"/>
        <v>0</v>
      </c>
      <c r="G28" s="2113">
        <f t="shared" si="7"/>
        <v>10826</v>
      </c>
      <c r="H28" s="2113">
        <f t="shared" si="5"/>
        <v>10826</v>
      </c>
      <c r="I28" s="2108">
        <f>'7.3.'!D28+'7.3.'!P28+'7.4.'!E28+'7.4.'!H28</f>
        <v>152215</v>
      </c>
      <c r="J28" s="2108">
        <f>'7.2.'!L28+'7.4.'!I28</f>
        <v>10780629</v>
      </c>
    </row>
    <row r="29" ht="12.75">
      <c r="A29" s="2117"/>
    </row>
    <row r="30" s="22" customFormat="1" ht="12.75"/>
  </sheetData>
  <sheetProtection/>
  <mergeCells count="13">
    <mergeCell ref="G8:G10"/>
    <mergeCell ref="A8:A10"/>
    <mergeCell ref="B8:B10"/>
    <mergeCell ref="I1:J1"/>
    <mergeCell ref="C8:C10"/>
    <mergeCell ref="D8:D10"/>
    <mergeCell ref="A3:J5"/>
    <mergeCell ref="H8:H10"/>
    <mergeCell ref="I8:I10"/>
    <mergeCell ref="J8:J10"/>
    <mergeCell ref="I7:J7"/>
    <mergeCell ref="E8:E10"/>
    <mergeCell ref="F8:F10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7">
      <selection activeCell="J2" sqref="J2"/>
    </sheetView>
  </sheetViews>
  <sheetFormatPr defaultColWidth="9.140625" defaultRowHeight="12.75"/>
  <cols>
    <col min="1" max="1" width="17.7109375" style="0" customWidth="1"/>
    <col min="2" max="7" width="10.28125" style="0" customWidth="1"/>
    <col min="8" max="8" width="11.8515625" style="0" customWidth="1"/>
    <col min="9" max="11" width="10.28125" style="0" customWidth="1"/>
  </cols>
  <sheetData>
    <row r="1" spans="10:11" ht="12.75">
      <c r="J1" s="2423" t="s">
        <v>2117</v>
      </c>
      <c r="K1" s="2423"/>
    </row>
    <row r="3" spans="1:11" ht="12.75">
      <c r="A3" s="2424" t="s">
        <v>2116</v>
      </c>
      <c r="B3" s="2424"/>
      <c r="C3" s="2424"/>
      <c r="D3" s="2424"/>
      <c r="E3" s="2424"/>
      <c r="F3" s="2424"/>
      <c r="G3" s="2424"/>
      <c r="H3" s="2424"/>
      <c r="I3" s="2424"/>
      <c r="J3" s="2424"/>
      <c r="K3" s="2424"/>
    </row>
    <row r="4" spans="1:11" ht="12.75">
      <c r="A4" s="2424"/>
      <c r="B4" s="2424"/>
      <c r="C4" s="2424"/>
      <c r="D4" s="2424"/>
      <c r="E4" s="2424"/>
      <c r="F4" s="2424"/>
      <c r="G4" s="2424"/>
      <c r="H4" s="2424"/>
      <c r="I4" s="2424"/>
      <c r="J4" s="2424"/>
      <c r="K4" s="2424"/>
    </row>
    <row r="5" spans="1:11" ht="12.75">
      <c r="A5" s="2424"/>
      <c r="B5" s="2424"/>
      <c r="C5" s="2424"/>
      <c r="D5" s="2424"/>
      <c r="E5" s="2424"/>
      <c r="F5" s="2424"/>
      <c r="G5" s="2424"/>
      <c r="H5" s="2424"/>
      <c r="I5" s="2424"/>
      <c r="J5" s="2424"/>
      <c r="K5" s="2424"/>
    </row>
    <row r="8" spans="1:11" s="2080" customFormat="1" ht="12.75" customHeight="1">
      <c r="A8" s="2438" t="s">
        <v>2172</v>
      </c>
      <c r="B8" s="2439" t="s">
        <v>1679</v>
      </c>
      <c r="C8" s="2432" t="s">
        <v>1680</v>
      </c>
      <c r="D8" s="2432" t="s">
        <v>1681</v>
      </c>
      <c r="E8" s="2432" t="s">
        <v>1682</v>
      </c>
      <c r="F8" s="2432" t="s">
        <v>1683</v>
      </c>
      <c r="G8" s="2433" t="s">
        <v>1684</v>
      </c>
      <c r="H8" s="2441" t="s">
        <v>1685</v>
      </c>
      <c r="I8" s="2432" t="s">
        <v>1686</v>
      </c>
      <c r="J8" s="2433" t="s">
        <v>1687</v>
      </c>
      <c r="K8" s="2432" t="s">
        <v>1688</v>
      </c>
    </row>
    <row r="9" spans="1:11" s="2080" customFormat="1" ht="12.75">
      <c r="A9" s="2438"/>
      <c r="B9" s="2440"/>
      <c r="C9" s="2432"/>
      <c r="D9" s="2432"/>
      <c r="E9" s="2432"/>
      <c r="F9" s="2432"/>
      <c r="G9" s="2434"/>
      <c r="H9" s="2441"/>
      <c r="I9" s="2432"/>
      <c r="J9" s="2434"/>
      <c r="K9" s="2432"/>
    </row>
    <row r="10" spans="1:11" s="2080" customFormat="1" ht="12.75">
      <c r="A10" s="2438"/>
      <c r="B10" s="2440"/>
      <c r="C10" s="2432"/>
      <c r="D10" s="2432"/>
      <c r="E10" s="2432"/>
      <c r="F10" s="2432"/>
      <c r="G10" s="2435"/>
      <c r="H10" s="2441"/>
      <c r="I10" s="2432"/>
      <c r="J10" s="2435"/>
      <c r="K10" s="2432"/>
    </row>
    <row r="11" spans="1:11" ht="24">
      <c r="A11" s="2088" t="s">
        <v>2185</v>
      </c>
      <c r="B11" s="2108">
        <f>SUM(B12:B16)</f>
        <v>0</v>
      </c>
      <c r="C11" s="2108">
        <v>-43633</v>
      </c>
      <c r="D11" s="2108">
        <v>-43633</v>
      </c>
      <c r="E11" s="2108">
        <v>6738</v>
      </c>
      <c r="F11" s="2113">
        <f aca="true" t="shared" si="0" ref="F11:K11">SUM(F12:F17)</f>
        <v>0</v>
      </c>
      <c r="G11" s="2113">
        <f t="shared" si="0"/>
        <v>0</v>
      </c>
      <c r="H11" s="2113">
        <f t="shared" si="0"/>
        <v>0</v>
      </c>
      <c r="I11" s="2113">
        <f t="shared" si="0"/>
        <v>0</v>
      </c>
      <c r="J11" s="2113">
        <f t="shared" si="0"/>
        <v>0</v>
      </c>
      <c r="K11" s="2113">
        <f t="shared" si="0"/>
        <v>44755</v>
      </c>
    </row>
    <row r="12" spans="1:11" ht="12.75">
      <c r="A12" s="2085" t="s">
        <v>2186</v>
      </c>
      <c r="B12" s="2109"/>
      <c r="C12" s="2108"/>
      <c r="D12" s="2109"/>
      <c r="E12" s="2109"/>
      <c r="F12" s="2111"/>
      <c r="G12" s="2111"/>
      <c r="H12" s="2111"/>
      <c r="I12" s="2111"/>
      <c r="J12" s="2111"/>
      <c r="K12" s="2111">
        <v>33015</v>
      </c>
    </row>
    <row r="13" spans="1:11" ht="12.75">
      <c r="A13" s="2085" t="s">
        <v>2187</v>
      </c>
      <c r="B13" s="2109"/>
      <c r="C13" s="2108"/>
      <c r="D13" s="2109"/>
      <c r="E13" s="2109"/>
      <c r="F13" s="2111"/>
      <c r="G13" s="2111"/>
      <c r="H13" s="2111"/>
      <c r="I13" s="2111"/>
      <c r="J13" s="2111"/>
      <c r="K13" s="2111">
        <v>3708</v>
      </c>
    </row>
    <row r="14" spans="1:11" ht="12.75">
      <c r="A14" s="2085" t="s">
        <v>330</v>
      </c>
      <c r="B14" s="2109"/>
      <c r="C14" s="2108"/>
      <c r="D14" s="2109"/>
      <c r="E14" s="2109"/>
      <c r="F14" s="2111"/>
      <c r="G14" s="2111"/>
      <c r="H14" s="2111"/>
      <c r="I14" s="2111"/>
      <c r="J14" s="2111"/>
      <c r="K14" s="2111">
        <v>1596</v>
      </c>
    </row>
    <row r="15" spans="1:11" ht="12.75">
      <c r="A15" s="2085" t="s">
        <v>100</v>
      </c>
      <c r="B15" s="2109"/>
      <c r="C15" s="2108"/>
      <c r="D15" s="2109"/>
      <c r="E15" s="2109"/>
      <c r="F15" s="2111"/>
      <c r="G15" s="2111"/>
      <c r="H15" s="2111"/>
      <c r="I15" s="2111"/>
      <c r="J15" s="2111"/>
      <c r="K15" s="2111">
        <v>4112</v>
      </c>
    </row>
    <row r="16" spans="1:11" ht="24">
      <c r="A16" s="2085" t="s">
        <v>82</v>
      </c>
      <c r="B16" s="2109"/>
      <c r="C16" s="2108"/>
      <c r="D16" s="2109"/>
      <c r="E16" s="2109"/>
      <c r="F16" s="2111"/>
      <c r="G16" s="2111"/>
      <c r="H16" s="2111"/>
      <c r="I16" s="2111"/>
      <c r="J16" s="2111"/>
      <c r="K16" s="2111">
        <v>527</v>
      </c>
    </row>
    <row r="17" spans="1:11" ht="12.75">
      <c r="A17" s="2085" t="s">
        <v>2189</v>
      </c>
      <c r="B17" s="2109"/>
      <c r="C17" s="2108"/>
      <c r="D17" s="2109"/>
      <c r="E17" s="2109"/>
      <c r="F17" s="2111"/>
      <c r="G17" s="2111"/>
      <c r="H17" s="2111"/>
      <c r="I17" s="2111"/>
      <c r="J17" s="2111"/>
      <c r="K17" s="2111">
        <v>1797</v>
      </c>
    </row>
    <row r="18" spans="1:11" ht="24">
      <c r="A18" s="2088" t="s">
        <v>2190</v>
      </c>
      <c r="B18" s="2108">
        <f>SUM(B19:B21)</f>
        <v>0</v>
      </c>
      <c r="C18" s="2108">
        <v>-93</v>
      </c>
      <c r="D18" s="2108">
        <v>-93</v>
      </c>
      <c r="E18" s="2108">
        <v>3711</v>
      </c>
      <c r="F18" s="2113">
        <f aca="true" t="shared" si="1" ref="F18:K18">SUM(F19:F21)</f>
        <v>0</v>
      </c>
      <c r="G18" s="2113">
        <f t="shared" si="1"/>
        <v>0</v>
      </c>
      <c r="H18" s="2113">
        <f t="shared" si="1"/>
        <v>0</v>
      </c>
      <c r="I18" s="2113">
        <f t="shared" si="1"/>
        <v>0</v>
      </c>
      <c r="J18" s="2113">
        <f t="shared" si="1"/>
        <v>0</v>
      </c>
      <c r="K18" s="2113">
        <f t="shared" si="1"/>
        <v>810</v>
      </c>
    </row>
    <row r="19" spans="1:11" ht="12.75">
      <c r="A19" s="2085" t="s">
        <v>921</v>
      </c>
      <c r="B19" s="2109"/>
      <c r="C19" s="2108"/>
      <c r="D19" s="2109"/>
      <c r="E19" s="2109"/>
      <c r="F19" s="2111"/>
      <c r="G19" s="2111"/>
      <c r="H19" s="2111"/>
      <c r="I19" s="2111"/>
      <c r="J19" s="2111"/>
      <c r="K19" s="2111">
        <v>672</v>
      </c>
    </row>
    <row r="20" spans="1:11" ht="12.75">
      <c r="A20" s="2085" t="s">
        <v>2191</v>
      </c>
      <c r="B20" s="2109"/>
      <c r="C20" s="2108"/>
      <c r="D20" s="2109"/>
      <c r="E20" s="2109"/>
      <c r="F20" s="2111"/>
      <c r="G20" s="2111"/>
      <c r="H20" s="2111"/>
      <c r="I20" s="2111"/>
      <c r="J20" s="2111"/>
      <c r="K20" s="2111">
        <v>0</v>
      </c>
    </row>
    <row r="21" spans="1:11" ht="12.75">
      <c r="A21" s="2085" t="s">
        <v>925</v>
      </c>
      <c r="B21" s="2108"/>
      <c r="C21" s="2108"/>
      <c r="D21" s="2109"/>
      <c r="E21" s="2109"/>
      <c r="F21" s="2111"/>
      <c r="G21" s="2111"/>
      <c r="H21" s="2111"/>
      <c r="I21" s="2111"/>
      <c r="J21" s="2111"/>
      <c r="K21" s="2111">
        <v>138</v>
      </c>
    </row>
    <row r="22" spans="1:11" ht="24">
      <c r="A22" s="2088" t="s">
        <v>2192</v>
      </c>
      <c r="B22" s="2108">
        <f>SUM(B23:B24)</f>
        <v>0</v>
      </c>
      <c r="C22" s="2108">
        <v>-14066</v>
      </c>
      <c r="D22" s="2108">
        <v>-14066</v>
      </c>
      <c r="E22" s="2108">
        <v>107</v>
      </c>
      <c r="F22" s="2113">
        <f aca="true" t="shared" si="2" ref="F22:K22">SUM(F23:F24)</f>
        <v>0</v>
      </c>
      <c r="G22" s="2113">
        <f t="shared" si="2"/>
        <v>0</v>
      </c>
      <c r="H22" s="2113">
        <f t="shared" si="2"/>
        <v>0</v>
      </c>
      <c r="I22" s="2113">
        <f t="shared" si="2"/>
        <v>0</v>
      </c>
      <c r="J22" s="2113">
        <f t="shared" si="2"/>
        <v>0</v>
      </c>
      <c r="K22" s="2113">
        <f t="shared" si="2"/>
        <v>14066</v>
      </c>
    </row>
    <row r="23" spans="1:11" ht="12.75">
      <c r="A23" s="2085" t="s">
        <v>2193</v>
      </c>
      <c r="B23" s="2108"/>
      <c r="C23" s="2108"/>
      <c r="D23" s="2109"/>
      <c r="E23" s="2109"/>
      <c r="F23" s="2111"/>
      <c r="G23" s="2111"/>
      <c r="H23" s="2111"/>
      <c r="I23" s="2111"/>
      <c r="J23" s="2111"/>
      <c r="K23" s="2111">
        <v>132</v>
      </c>
    </row>
    <row r="24" spans="1:11" ht="12.75">
      <c r="A24" s="2085" t="s">
        <v>2194</v>
      </c>
      <c r="B24" s="2109"/>
      <c r="C24" s="2108"/>
      <c r="D24" s="2109"/>
      <c r="E24" s="2109"/>
      <c r="F24" s="2111"/>
      <c r="G24" s="2111"/>
      <c r="H24" s="2111"/>
      <c r="I24" s="2111"/>
      <c r="J24" s="2111"/>
      <c r="K24" s="2111">
        <v>13934</v>
      </c>
    </row>
    <row r="25" spans="1:11" ht="12.75">
      <c r="A25" s="2110" t="s">
        <v>2196</v>
      </c>
      <c r="B25" s="2109"/>
      <c r="C25" s="2108">
        <v>-21112</v>
      </c>
      <c r="D25" s="2109">
        <v>-21112</v>
      </c>
      <c r="E25" s="2108">
        <v>3094</v>
      </c>
      <c r="F25" s="2113">
        <f aca="true" t="shared" si="3" ref="F25:J26">SUM(F10+F17+F21)</f>
        <v>0</v>
      </c>
      <c r="G25" s="2113">
        <f t="shared" si="3"/>
        <v>0</v>
      </c>
      <c r="H25" s="2113">
        <f t="shared" si="3"/>
        <v>0</v>
      </c>
      <c r="I25" s="2113">
        <f t="shared" si="3"/>
        <v>0</v>
      </c>
      <c r="J25" s="2113">
        <f t="shared" si="3"/>
        <v>0</v>
      </c>
      <c r="K25" s="2113">
        <v>21112</v>
      </c>
    </row>
    <row r="26" spans="1:11" ht="12.75">
      <c r="A26" s="2088" t="s">
        <v>2195</v>
      </c>
      <c r="B26" s="2108">
        <f>SUM(B11+B18+B22)</f>
        <v>0</v>
      </c>
      <c r="C26" s="2108">
        <f>C11+C18+C22+C25</f>
        <v>-78904</v>
      </c>
      <c r="D26" s="2108">
        <f>D11+D18+D22+D25</f>
        <v>-78904</v>
      </c>
      <c r="E26" s="2108">
        <f>E11+E18+E22+E25</f>
        <v>13650</v>
      </c>
      <c r="F26" s="2113">
        <f t="shared" si="3"/>
        <v>0</v>
      </c>
      <c r="G26" s="2113">
        <f t="shared" si="3"/>
        <v>0</v>
      </c>
      <c r="H26" s="2113">
        <f t="shared" si="3"/>
        <v>0</v>
      </c>
      <c r="I26" s="2113">
        <f t="shared" si="3"/>
        <v>0</v>
      </c>
      <c r="J26" s="2113">
        <f t="shared" si="3"/>
        <v>0</v>
      </c>
      <c r="K26" s="2113">
        <f>SUM(K11+K18+K22+K25)</f>
        <v>80743</v>
      </c>
    </row>
    <row r="27" spans="1:11" ht="12.75">
      <c r="A27" s="2110" t="s">
        <v>332</v>
      </c>
      <c r="B27" s="2109">
        <v>10713126</v>
      </c>
      <c r="C27" s="2109">
        <f>SUM(D27-B27)</f>
        <v>-430532</v>
      </c>
      <c r="D27" s="2109">
        <v>10282594</v>
      </c>
      <c r="E27" s="2109">
        <v>77971</v>
      </c>
      <c r="F27" s="2111">
        <v>152170</v>
      </c>
      <c r="G27" s="2111">
        <v>21239</v>
      </c>
      <c r="H27" s="2111">
        <f>SUM(F27:G27)</f>
        <v>173409</v>
      </c>
      <c r="I27" s="2111">
        <v>17789</v>
      </c>
      <c r="J27" s="2111">
        <v>131999</v>
      </c>
      <c r="K27" s="2111">
        <v>33817</v>
      </c>
    </row>
    <row r="28" spans="1:11" ht="12.75">
      <c r="A28" s="2091" t="s">
        <v>2197</v>
      </c>
      <c r="B28" s="2108">
        <f>SUM(B26:B27)</f>
        <v>10713126</v>
      </c>
      <c r="C28" s="2108">
        <f>SUM(D28-B28)</f>
        <v>-509436</v>
      </c>
      <c r="D28" s="2108">
        <f>D27+D26</f>
        <v>10203690</v>
      </c>
      <c r="E28" s="2113">
        <f>E27+E26</f>
        <v>91621</v>
      </c>
      <c r="F28" s="2113">
        <f aca="true" t="shared" si="4" ref="F28:K28">SUM(F26:F27)</f>
        <v>152170</v>
      </c>
      <c r="G28" s="2113">
        <f t="shared" si="4"/>
        <v>21239</v>
      </c>
      <c r="H28" s="2113">
        <f>SUM(H26:H27)</f>
        <v>173409</v>
      </c>
      <c r="I28" s="2113">
        <f t="shared" si="4"/>
        <v>17789</v>
      </c>
      <c r="J28" s="2113">
        <f t="shared" si="4"/>
        <v>131999</v>
      </c>
      <c r="K28" s="2113">
        <f t="shared" si="4"/>
        <v>114560</v>
      </c>
    </row>
    <row r="29" spans="1:11" ht="12.75">
      <c r="A29" s="2117"/>
      <c r="B29" s="2117"/>
      <c r="C29" s="2117"/>
      <c r="D29" s="2119"/>
      <c r="E29" s="2117"/>
      <c r="F29" s="2117"/>
      <c r="G29" s="2117"/>
      <c r="H29" s="2117"/>
      <c r="I29" s="2117"/>
      <c r="J29" s="2117"/>
      <c r="K29" s="2117"/>
    </row>
    <row r="30" spans="2:11" ht="12.75">
      <c r="B30" s="2117"/>
      <c r="C30" s="2117"/>
      <c r="D30" s="2119"/>
      <c r="E30" s="2117"/>
      <c r="F30" s="2117"/>
      <c r="G30" s="2117"/>
      <c r="H30" s="2117"/>
      <c r="I30" s="2117"/>
      <c r="J30" s="2117"/>
      <c r="K30" s="2117"/>
    </row>
    <row r="31" spans="2:11" ht="12.75">
      <c r="B31" s="2117"/>
      <c r="C31" s="2117"/>
      <c r="D31" s="2119"/>
      <c r="E31" s="2117"/>
      <c r="F31" s="2117"/>
      <c r="G31" s="2117"/>
      <c r="H31" s="2117"/>
      <c r="I31" s="2117"/>
      <c r="J31" s="2117"/>
      <c r="K31" s="2117"/>
    </row>
    <row r="32" spans="2:11" ht="12.75">
      <c r="B32" s="2117"/>
      <c r="C32" s="2117"/>
      <c r="D32" s="2117"/>
      <c r="E32" s="2117"/>
      <c r="F32" s="2117"/>
      <c r="G32" s="2117"/>
      <c r="H32" s="2117"/>
      <c r="I32" s="2117"/>
      <c r="J32" s="2117"/>
      <c r="K32" s="2117"/>
    </row>
    <row r="33" spans="2:11" ht="12.75">
      <c r="B33" s="2117"/>
      <c r="C33" s="2117"/>
      <c r="D33" s="2117"/>
      <c r="E33" s="2117"/>
      <c r="F33" s="2117"/>
      <c r="G33" s="2117"/>
      <c r="H33" s="2117"/>
      <c r="I33" s="2117"/>
      <c r="J33" s="2117"/>
      <c r="K33" s="2117"/>
    </row>
    <row r="34" spans="2:11" ht="12.75">
      <c r="B34" s="2117"/>
      <c r="C34" s="2117"/>
      <c r="D34" s="2117"/>
      <c r="E34" s="2117"/>
      <c r="F34" s="2117"/>
      <c r="G34" s="2117"/>
      <c r="H34" s="2117"/>
      <c r="I34" s="2117"/>
      <c r="J34" s="2117"/>
      <c r="K34" s="2117"/>
    </row>
    <row r="35" spans="2:11" ht="12.75">
      <c r="B35" s="2117"/>
      <c r="C35" s="2117"/>
      <c r="D35" s="2117"/>
      <c r="E35" s="2117"/>
      <c r="F35" s="2117"/>
      <c r="G35" s="2117"/>
      <c r="H35" s="2117"/>
      <c r="I35" s="2117"/>
      <c r="J35" s="2117"/>
      <c r="K35" s="2117"/>
    </row>
  </sheetData>
  <sheetProtection/>
  <mergeCells count="13">
    <mergeCell ref="H8:H10"/>
    <mergeCell ref="I8:I10"/>
    <mergeCell ref="J8:J10"/>
    <mergeCell ref="K8:K10"/>
    <mergeCell ref="J1:K1"/>
    <mergeCell ref="A3:K5"/>
    <mergeCell ref="A8:A10"/>
    <mergeCell ref="B8:B10"/>
    <mergeCell ref="C8:C10"/>
    <mergeCell ref="D8:D10"/>
    <mergeCell ref="E8:E10"/>
    <mergeCell ref="F8:F10"/>
    <mergeCell ref="G8:G10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C4">
      <selection activeCell="N16" sqref="N16"/>
    </sheetView>
  </sheetViews>
  <sheetFormatPr defaultColWidth="9.140625" defaultRowHeight="12.75"/>
  <cols>
    <col min="1" max="1" width="17.7109375" style="0" customWidth="1"/>
    <col min="2" max="12" width="11.8515625" style="0" customWidth="1"/>
    <col min="13" max="13" width="13.140625" style="0" customWidth="1"/>
  </cols>
  <sheetData>
    <row r="1" spans="11:13" ht="12.75">
      <c r="K1" s="2423" t="s">
        <v>2118</v>
      </c>
      <c r="L1" s="2423"/>
      <c r="M1" s="2423"/>
    </row>
    <row r="3" spans="1:13" ht="12.75">
      <c r="A3" s="2424" t="s">
        <v>2198</v>
      </c>
      <c r="B3" s="2424"/>
      <c r="C3" s="2424"/>
      <c r="D3" s="2424"/>
      <c r="E3" s="2424"/>
      <c r="F3" s="2424"/>
      <c r="G3" s="2424"/>
      <c r="H3" s="2424"/>
      <c r="I3" s="2424"/>
      <c r="J3" s="2424"/>
      <c r="K3" s="2424"/>
      <c r="L3" s="2424"/>
      <c r="M3" s="2424"/>
    </row>
    <row r="4" spans="1:13" ht="12.75">
      <c r="A4" s="2424"/>
      <c r="B4" s="2424"/>
      <c r="C4" s="2424"/>
      <c r="D4" s="2424"/>
      <c r="E4" s="2424"/>
      <c r="F4" s="2424"/>
      <c r="G4" s="2424"/>
      <c r="H4" s="2424"/>
      <c r="I4" s="2424"/>
      <c r="J4" s="2424"/>
      <c r="K4" s="2424"/>
      <c r="L4" s="2424"/>
      <c r="M4" s="2424"/>
    </row>
    <row r="5" spans="1:13" ht="12.75">
      <c r="A5" s="2424"/>
      <c r="B5" s="2424"/>
      <c r="C5" s="2424"/>
      <c r="D5" s="2424"/>
      <c r="E5" s="2424"/>
      <c r="F5" s="2424"/>
      <c r="G5" s="2424"/>
      <c r="H5" s="2424"/>
      <c r="I5" s="2424"/>
      <c r="J5" s="2424"/>
      <c r="K5" s="2424"/>
      <c r="L5" s="2424"/>
      <c r="M5" s="2424"/>
    </row>
    <row r="7" spans="12:13" ht="12.75">
      <c r="L7" s="2437" t="s">
        <v>1371</v>
      </c>
      <c r="M7" s="2437"/>
    </row>
    <row r="8" spans="1:13" s="2080" customFormat="1" ht="12.75">
      <c r="A8" s="2438" t="s">
        <v>2172</v>
      </c>
      <c r="B8" s="2442" t="s">
        <v>1689</v>
      </c>
      <c r="C8" s="2445" t="s">
        <v>1690</v>
      </c>
      <c r="D8" s="2445" t="s">
        <v>1691</v>
      </c>
      <c r="E8" s="2439" t="s">
        <v>1692</v>
      </c>
      <c r="F8" s="2439" t="s">
        <v>1693</v>
      </c>
      <c r="G8" s="2439" t="s">
        <v>1694</v>
      </c>
      <c r="H8" s="2439" t="s">
        <v>1694</v>
      </c>
      <c r="I8" s="2442" t="s">
        <v>1695</v>
      </c>
      <c r="J8" s="2445" t="s">
        <v>1696</v>
      </c>
      <c r="K8" s="2439" t="s">
        <v>1697</v>
      </c>
      <c r="L8" s="2439" t="s">
        <v>1698</v>
      </c>
      <c r="M8" s="2439" t="s">
        <v>1699</v>
      </c>
    </row>
    <row r="9" spans="1:13" s="2080" customFormat="1" ht="12.75">
      <c r="A9" s="2438"/>
      <c r="B9" s="2443"/>
      <c r="C9" s="2446"/>
      <c r="D9" s="2446"/>
      <c r="E9" s="2439"/>
      <c r="F9" s="2439"/>
      <c r="G9" s="2439"/>
      <c r="H9" s="2439"/>
      <c r="I9" s="2443"/>
      <c r="J9" s="2446"/>
      <c r="K9" s="2439"/>
      <c r="L9" s="2439"/>
      <c r="M9" s="2439"/>
    </row>
    <row r="10" spans="1:13" s="2080" customFormat="1" ht="12.75">
      <c r="A10" s="2438"/>
      <c r="B10" s="2444"/>
      <c r="C10" s="2447"/>
      <c r="D10" s="2447"/>
      <c r="E10" s="2439"/>
      <c r="F10" s="2439"/>
      <c r="G10" s="2439"/>
      <c r="H10" s="2439"/>
      <c r="I10" s="2444"/>
      <c r="J10" s="2447"/>
      <c r="K10" s="2439"/>
      <c r="L10" s="2439"/>
      <c r="M10" s="2439"/>
    </row>
    <row r="11" spans="1:13" ht="24">
      <c r="A11" s="2088" t="s">
        <v>2185</v>
      </c>
      <c r="B11" s="2122">
        <f>SUM(B12:B17)</f>
        <v>0</v>
      </c>
      <c r="C11" s="2122">
        <f>SUM(C12:C17)</f>
        <v>0</v>
      </c>
      <c r="D11" s="2122">
        <f>SUM(D12:D17)</f>
        <v>0</v>
      </c>
      <c r="E11" s="2112">
        <f>SUM(E12:E17)</f>
        <v>0</v>
      </c>
      <c r="F11" s="2113">
        <f>'7.5.'!I11+'7.5.'!J11+'7.5.'!K11+'7.6.'!E11</f>
        <v>44755</v>
      </c>
      <c r="G11" s="2113">
        <v>0</v>
      </c>
      <c r="H11" s="2112">
        <f>SUM(H12:H17)</f>
        <v>0</v>
      </c>
      <c r="I11" s="2112">
        <f>SUM(I12:I17)</f>
        <v>0</v>
      </c>
      <c r="J11" s="2112">
        <f>SUM(J12:J17)</f>
        <v>0</v>
      </c>
      <c r="K11" s="2112">
        <f>SUM(K12:K17)</f>
        <v>0</v>
      </c>
      <c r="L11" s="2112">
        <f>'7.5.'!H11+'7.6.'!F11+'7.6.'!K11</f>
        <v>44755</v>
      </c>
      <c r="M11" s="2122">
        <f>'7.5.'!D11+'7.5.'!E11+'7.6.'!L11</f>
        <v>7860</v>
      </c>
    </row>
    <row r="12" spans="1:13" ht="12.75">
      <c r="A12" s="2085" t="s">
        <v>2186</v>
      </c>
      <c r="B12" s="6"/>
      <c r="C12" s="6"/>
      <c r="D12" s="6"/>
      <c r="E12" s="39"/>
      <c r="F12" s="2113">
        <f>'7.5.'!I12+'7.5.'!J12+'7.5.'!K12+'7.6.'!E12</f>
        <v>33015</v>
      </c>
      <c r="G12" s="2113"/>
      <c r="H12" s="39"/>
      <c r="I12" s="39"/>
      <c r="J12" s="17"/>
      <c r="K12" s="17"/>
      <c r="L12" s="2112">
        <f>'7.5.'!H12+'7.6.'!F12+'7.6.'!K12</f>
        <v>33015</v>
      </c>
      <c r="M12" s="2122">
        <f>'7.5.'!D12+'7.5.'!E12+'7.6.'!L12</f>
        <v>33015</v>
      </c>
    </row>
    <row r="13" spans="1:13" ht="12.75">
      <c r="A13" s="2085" t="s">
        <v>2187</v>
      </c>
      <c r="B13" s="6"/>
      <c r="C13" s="6"/>
      <c r="D13" s="6"/>
      <c r="E13" s="39"/>
      <c r="F13" s="2113">
        <f>'7.5.'!I13+'7.5.'!J13+'7.5.'!K13+'7.6.'!E13</f>
        <v>3708</v>
      </c>
      <c r="G13" s="2113"/>
      <c r="H13" s="39"/>
      <c r="I13" s="39"/>
      <c r="J13" s="17"/>
      <c r="K13" s="17"/>
      <c r="L13" s="2112">
        <f>'7.5.'!H13+'7.6.'!F13+'7.6.'!K13</f>
        <v>3708</v>
      </c>
      <c r="M13" s="2122">
        <f>'7.5.'!D13+'7.5.'!E13+'7.6.'!L13</f>
        <v>3708</v>
      </c>
    </row>
    <row r="14" spans="1:13" ht="12.75">
      <c r="A14" s="2085" t="s">
        <v>330</v>
      </c>
      <c r="B14" s="6"/>
      <c r="C14" s="6"/>
      <c r="D14" s="6"/>
      <c r="E14" s="39"/>
      <c r="F14" s="2113">
        <f>'7.5.'!I14+'7.5.'!J14+'7.5.'!K14+'7.6.'!E14</f>
        <v>1596</v>
      </c>
      <c r="G14" s="2113"/>
      <c r="H14" s="39"/>
      <c r="I14" s="39"/>
      <c r="J14" s="17"/>
      <c r="K14" s="17"/>
      <c r="L14" s="2112">
        <f>'7.5.'!H14+'7.6.'!F14+'7.6.'!K14</f>
        <v>1596</v>
      </c>
      <c r="M14" s="2122">
        <f>'7.5.'!D14+'7.5.'!E14+'7.6.'!L14</f>
        <v>1596</v>
      </c>
    </row>
    <row r="15" spans="1:13" ht="12.75">
      <c r="A15" s="2085" t="s">
        <v>100</v>
      </c>
      <c r="B15" s="6"/>
      <c r="C15" s="6"/>
      <c r="D15" s="6"/>
      <c r="E15" s="39"/>
      <c r="F15" s="2113">
        <f>'7.5.'!I15+'7.5.'!J15+'7.5.'!K15+'7.6.'!E15</f>
        <v>4112</v>
      </c>
      <c r="G15" s="2113"/>
      <c r="H15" s="39"/>
      <c r="I15" s="39"/>
      <c r="J15" s="17"/>
      <c r="K15" s="17"/>
      <c r="L15" s="2112">
        <f>'7.5.'!H15+'7.6.'!F15+'7.6.'!K15</f>
        <v>4112</v>
      </c>
      <c r="M15" s="2122">
        <f>'7.5.'!D15+'7.5.'!E15+'7.6.'!L15</f>
        <v>4112</v>
      </c>
    </row>
    <row r="16" spans="1:13" ht="24">
      <c r="A16" s="2085" t="s">
        <v>82</v>
      </c>
      <c r="B16" s="6"/>
      <c r="C16" s="6"/>
      <c r="D16" s="6"/>
      <c r="E16" s="39"/>
      <c r="F16" s="2113">
        <f>'7.5.'!I16+'7.5.'!J16+'7.5.'!K16+'7.6.'!E16</f>
        <v>527</v>
      </c>
      <c r="G16" s="2113"/>
      <c r="H16" s="39"/>
      <c r="I16" s="39"/>
      <c r="J16" s="17"/>
      <c r="K16" s="17"/>
      <c r="L16" s="2112">
        <f>'7.5.'!H16+'7.6.'!F16+'7.6.'!K16</f>
        <v>527</v>
      </c>
      <c r="M16" s="2122">
        <f>'7.5.'!D16+'7.5.'!E16+'7.6.'!L16</f>
        <v>527</v>
      </c>
    </row>
    <row r="17" spans="1:13" ht="12.75">
      <c r="A17" s="2085" t="s">
        <v>2189</v>
      </c>
      <c r="B17" s="6"/>
      <c r="C17" s="6"/>
      <c r="D17" s="6"/>
      <c r="E17" s="39"/>
      <c r="F17" s="2113">
        <f>'7.5.'!I17+'7.5.'!J17+'7.5.'!K17+'7.6.'!E17</f>
        <v>1797</v>
      </c>
      <c r="G17" s="2113"/>
      <c r="H17" s="39"/>
      <c r="I17" s="39"/>
      <c r="J17" s="17"/>
      <c r="K17" s="17"/>
      <c r="L17" s="2112">
        <f>'7.5.'!H17+'7.6.'!F17+'7.6.'!K17</f>
        <v>1797</v>
      </c>
      <c r="M17" s="2122">
        <f>'7.5.'!D17+'7.5.'!E17+'7.6.'!L17</f>
        <v>1797</v>
      </c>
    </row>
    <row r="18" spans="1:13" ht="24">
      <c r="A18" s="2088" t="s">
        <v>2190</v>
      </c>
      <c r="B18" s="2122">
        <f aca="true" t="shared" si="0" ref="B18:K18">SUM(B19:B21)</f>
        <v>0</v>
      </c>
      <c r="C18" s="2122">
        <f t="shared" si="0"/>
        <v>0</v>
      </c>
      <c r="D18" s="2122">
        <f t="shared" si="0"/>
        <v>0</v>
      </c>
      <c r="E18" s="2112">
        <f t="shared" si="0"/>
        <v>0</v>
      </c>
      <c r="F18" s="2113">
        <f>'7.5.'!I18+'7.5.'!J18+'7.5.'!K18+'7.6.'!E18</f>
        <v>810</v>
      </c>
      <c r="G18" s="2113">
        <v>0</v>
      </c>
      <c r="H18" s="2112">
        <f t="shared" si="0"/>
        <v>0</v>
      </c>
      <c r="I18" s="2112">
        <f t="shared" si="0"/>
        <v>0</v>
      </c>
      <c r="J18" s="2112">
        <f t="shared" si="0"/>
        <v>0</v>
      </c>
      <c r="K18" s="2112">
        <f t="shared" si="0"/>
        <v>0</v>
      </c>
      <c r="L18" s="2112">
        <f>'7.5.'!H18+'7.6.'!F18+'7.6.'!K18</f>
        <v>810</v>
      </c>
      <c r="M18" s="2122">
        <f>'7.5.'!D18+'7.5.'!E18+'7.6.'!L18</f>
        <v>4428</v>
      </c>
    </row>
    <row r="19" spans="1:13" ht="12.75">
      <c r="A19" s="2085" t="s">
        <v>921</v>
      </c>
      <c r="B19" s="6"/>
      <c r="C19" s="6"/>
      <c r="D19" s="6"/>
      <c r="E19" s="39"/>
      <c r="F19" s="2113">
        <f>'7.5.'!I19+'7.5.'!J19+'7.5.'!K19+'7.6.'!E19</f>
        <v>672</v>
      </c>
      <c r="G19" s="2113"/>
      <c r="H19" s="39"/>
      <c r="I19" s="39"/>
      <c r="J19" s="39"/>
      <c r="K19" s="2112"/>
      <c r="L19" s="2112">
        <f>'7.5.'!H19+'7.6.'!F19+'7.6.'!K19</f>
        <v>672</v>
      </c>
      <c r="M19" s="2122">
        <f>'7.5.'!D19+'7.5.'!E19+'7.6.'!L19</f>
        <v>672</v>
      </c>
    </row>
    <row r="20" spans="1:13" ht="12.75">
      <c r="A20" s="2085" t="s">
        <v>2191</v>
      </c>
      <c r="B20" s="6"/>
      <c r="C20" s="6"/>
      <c r="D20" s="6"/>
      <c r="E20" s="39"/>
      <c r="F20" s="2113">
        <f>'7.5.'!I20+'7.5.'!J20+'7.5.'!K20+'7.6.'!E20</f>
        <v>0</v>
      </c>
      <c r="G20" s="2113"/>
      <c r="H20" s="39"/>
      <c r="I20" s="39"/>
      <c r="J20" s="39"/>
      <c r="K20" s="2112"/>
      <c r="L20" s="2112">
        <f>'7.5.'!H20+'7.6.'!F20+'7.6.'!K20</f>
        <v>0</v>
      </c>
      <c r="M20" s="2122">
        <f>'7.5.'!D20+'7.5.'!E20+'7.6.'!L20</f>
        <v>0</v>
      </c>
    </row>
    <row r="21" spans="1:13" ht="12.75">
      <c r="A21" s="2085" t="s">
        <v>925</v>
      </c>
      <c r="B21" s="2122"/>
      <c r="C21" s="2122"/>
      <c r="D21" s="2122"/>
      <c r="E21" s="39"/>
      <c r="F21" s="2113">
        <f>'7.5.'!I21+'7.5.'!J21+'7.5.'!K21+'7.6.'!E21</f>
        <v>138</v>
      </c>
      <c r="G21" s="2113"/>
      <c r="H21" s="2112"/>
      <c r="I21" s="2112"/>
      <c r="J21" s="2112"/>
      <c r="K21" s="2112"/>
      <c r="L21" s="2112">
        <f>'7.5.'!H21+'7.6.'!F21+'7.6.'!K21</f>
        <v>138</v>
      </c>
      <c r="M21" s="2122">
        <f>'7.5.'!D21+'7.5.'!E21+'7.6.'!L21</f>
        <v>138</v>
      </c>
    </row>
    <row r="22" spans="1:13" ht="24">
      <c r="A22" s="2088" t="s">
        <v>2192</v>
      </c>
      <c r="B22" s="2122">
        <f aca="true" t="shared" si="1" ref="B22:K22">SUM(B23:B24)</f>
        <v>0</v>
      </c>
      <c r="C22" s="2122">
        <f t="shared" si="1"/>
        <v>0</v>
      </c>
      <c r="D22" s="2122">
        <f t="shared" si="1"/>
        <v>0</v>
      </c>
      <c r="E22" s="2112">
        <f t="shared" si="1"/>
        <v>0</v>
      </c>
      <c r="F22" s="2113">
        <f>'7.5.'!I22+'7.5.'!J22+'7.5.'!K22+'7.6.'!E22</f>
        <v>14066</v>
      </c>
      <c r="G22" s="2113">
        <v>0</v>
      </c>
      <c r="H22" s="2112">
        <f t="shared" si="1"/>
        <v>0</v>
      </c>
      <c r="I22" s="2112">
        <f t="shared" si="1"/>
        <v>0</v>
      </c>
      <c r="J22" s="2112">
        <f t="shared" si="1"/>
        <v>0</v>
      </c>
      <c r="K22" s="2112">
        <f t="shared" si="1"/>
        <v>0</v>
      </c>
      <c r="L22" s="2112">
        <f>'7.5.'!H22+'7.6.'!F22+'7.6.'!K22</f>
        <v>14066</v>
      </c>
      <c r="M22" s="2122">
        <f>'7.5.'!D22+'7.5.'!E22+'7.6.'!L22</f>
        <v>107</v>
      </c>
    </row>
    <row r="23" spans="1:13" ht="12.75">
      <c r="A23" s="2085" t="s">
        <v>2193</v>
      </c>
      <c r="B23" s="2122"/>
      <c r="C23" s="2122"/>
      <c r="D23" s="2122"/>
      <c r="E23" s="39"/>
      <c r="F23" s="2113">
        <f>'7.5.'!I23+'7.5.'!J23+'7.5.'!K23+'7.6.'!E23</f>
        <v>132</v>
      </c>
      <c r="G23" s="2113"/>
      <c r="H23" s="2112"/>
      <c r="I23" s="2112"/>
      <c r="J23" s="2112"/>
      <c r="K23" s="17"/>
      <c r="L23" s="2112">
        <f>'7.5.'!H23+'7.6.'!F23+'7.6.'!K23</f>
        <v>132</v>
      </c>
      <c r="M23" s="2122">
        <f>'7.5.'!D23+'7.5.'!E23+'7.6.'!L23</f>
        <v>132</v>
      </c>
    </row>
    <row r="24" spans="1:13" ht="12.75">
      <c r="A24" s="2085" t="s">
        <v>2194</v>
      </c>
      <c r="B24" s="6"/>
      <c r="C24" s="6"/>
      <c r="D24" s="6"/>
      <c r="E24" s="39"/>
      <c r="F24" s="2113">
        <f>'7.5.'!I24+'7.5.'!J24+'7.5.'!K24+'7.6.'!E24</f>
        <v>13934</v>
      </c>
      <c r="G24" s="2113"/>
      <c r="H24" s="39"/>
      <c r="I24" s="39"/>
      <c r="J24" s="39"/>
      <c r="K24" s="17"/>
      <c r="L24" s="2112">
        <f>'7.5.'!H24+'7.6.'!F24+'7.6.'!K24</f>
        <v>13934</v>
      </c>
      <c r="M24" s="2122">
        <f>'7.5.'!D24+'7.5.'!E24+'7.6.'!L24</f>
        <v>13934</v>
      </c>
    </row>
    <row r="25" spans="1:13" ht="12.75">
      <c r="A25" s="2110" t="s">
        <v>1140</v>
      </c>
      <c r="B25" s="6">
        <v>0</v>
      </c>
      <c r="C25" s="6">
        <v>0</v>
      </c>
      <c r="D25" s="6">
        <v>0</v>
      </c>
      <c r="E25" s="39">
        <v>0</v>
      </c>
      <c r="F25" s="2113">
        <f>'7.5.'!I25+'7.5.'!J25+'7.5.'!K25+'7.6.'!E25</f>
        <v>21112</v>
      </c>
      <c r="G25" s="2113">
        <v>0</v>
      </c>
      <c r="H25" s="39">
        <v>0</v>
      </c>
      <c r="I25" s="39">
        <v>0</v>
      </c>
      <c r="J25" s="39">
        <v>0</v>
      </c>
      <c r="K25" s="17">
        <v>0</v>
      </c>
      <c r="L25" s="2112">
        <f>'7.5.'!H25+'7.6.'!F25+'7.6.'!K25</f>
        <v>21112</v>
      </c>
      <c r="M25" s="2122">
        <f>'7.5.'!D25+'7.5.'!E25+'7.6.'!L25</f>
        <v>3094</v>
      </c>
    </row>
    <row r="26" spans="1:13" ht="12.75">
      <c r="A26" s="2088" t="s">
        <v>2195</v>
      </c>
      <c r="B26" s="2122">
        <f>SUM(B22+B18+B11)</f>
        <v>0</v>
      </c>
      <c r="C26" s="2122">
        <f>SUM(C22+C18+C11)</f>
        <v>0</v>
      </c>
      <c r="D26" s="2122">
        <f>SUM(D22+D18+D11)</f>
        <v>0</v>
      </c>
      <c r="E26" s="2112">
        <f>SUM(E22+E18+E11)</f>
        <v>0</v>
      </c>
      <c r="F26" s="2113">
        <f>'7.5.'!I26+'7.5.'!J26+'7.5.'!K26+'7.6.'!E26</f>
        <v>80743</v>
      </c>
      <c r="G26" s="2112">
        <f>SUM(G22+G18+G11)</f>
        <v>0</v>
      </c>
      <c r="H26" s="2112">
        <f>SUM(H22+H18+H11)</f>
        <v>0</v>
      </c>
      <c r="I26" s="2112">
        <f>SUM(I22+I18+I11)</f>
        <v>0</v>
      </c>
      <c r="J26" s="2112">
        <f>SUM(J22+J18+J11)</f>
        <v>0</v>
      </c>
      <c r="K26" s="2112">
        <f>SUM(K22+K18+K11)</f>
        <v>0</v>
      </c>
      <c r="L26" s="2112">
        <f>'7.5.'!H26+'7.6.'!F26+'7.6.'!K26</f>
        <v>80743</v>
      </c>
      <c r="M26" s="2122">
        <f>'7.5.'!D26+'7.5.'!E26+'7.6.'!L26</f>
        <v>15489</v>
      </c>
    </row>
    <row r="27" spans="1:13" ht="12.75">
      <c r="A27" s="2110" t="s">
        <v>332</v>
      </c>
      <c r="B27" s="39">
        <v>12303</v>
      </c>
      <c r="C27" s="39">
        <v>16346</v>
      </c>
      <c r="D27" s="39">
        <v>18421</v>
      </c>
      <c r="E27" s="39">
        <f>SUM(B27:D27)</f>
        <v>47070</v>
      </c>
      <c r="F27" s="2113">
        <f>'7.5.'!I27+'7.5.'!J27+'7.5.'!K27+'7.6.'!E27</f>
        <v>230675</v>
      </c>
      <c r="G27" s="2113">
        <v>29</v>
      </c>
      <c r="H27" s="39">
        <v>49</v>
      </c>
      <c r="I27" s="39"/>
      <c r="J27" s="39">
        <v>413</v>
      </c>
      <c r="K27" s="17">
        <f>SUM(G27:J27)</f>
        <v>491</v>
      </c>
      <c r="L27" s="2112">
        <f>'7.5.'!H27+'7.6.'!F27+'7.6.'!K27</f>
        <v>404575</v>
      </c>
      <c r="M27" s="2122">
        <f>'7.5.'!D27+'7.5.'!E27+'7.6.'!L27</f>
        <v>10765140</v>
      </c>
    </row>
    <row r="28" spans="1:13" ht="12.75">
      <c r="A28" s="2091" t="s">
        <v>2197</v>
      </c>
      <c r="B28" s="2112">
        <f>SUM(B26:B27)</f>
        <v>12303</v>
      </c>
      <c r="C28" s="2112">
        <f aca="true" t="shared" si="2" ref="C28:K28">SUM(C26:C27)</f>
        <v>16346</v>
      </c>
      <c r="D28" s="2112">
        <f t="shared" si="2"/>
        <v>18421</v>
      </c>
      <c r="E28" s="2112">
        <f t="shared" si="2"/>
        <v>47070</v>
      </c>
      <c r="F28" s="2113">
        <f>'7.5.'!I28+'7.5.'!J28+'7.5.'!K28+'7.6.'!E28</f>
        <v>311418</v>
      </c>
      <c r="G28" s="2113">
        <f>SUM(G26:G27)</f>
        <v>29</v>
      </c>
      <c r="H28" s="2112">
        <f t="shared" si="2"/>
        <v>49</v>
      </c>
      <c r="I28" s="2112">
        <f t="shared" si="2"/>
        <v>0</v>
      </c>
      <c r="J28" s="2112">
        <f t="shared" si="2"/>
        <v>413</v>
      </c>
      <c r="K28" s="2112">
        <f t="shared" si="2"/>
        <v>491</v>
      </c>
      <c r="L28" s="2112">
        <f>'7.5.'!H28+'7.6.'!F28+'7.6.'!K28</f>
        <v>485318</v>
      </c>
      <c r="M28" s="2122">
        <f>'7.5.'!D28+'7.5.'!E28+'7.6.'!L28</f>
        <v>10780629</v>
      </c>
    </row>
    <row r="29" ht="12.75">
      <c r="A29" s="2117"/>
    </row>
  </sheetData>
  <sheetProtection/>
  <mergeCells count="16">
    <mergeCell ref="H8:H10"/>
    <mergeCell ref="M8:M10"/>
    <mergeCell ref="I8:I10"/>
    <mergeCell ref="J8:J10"/>
    <mergeCell ref="K8:K10"/>
    <mergeCell ref="L8:L10"/>
    <mergeCell ref="G8:G10"/>
    <mergeCell ref="K1:M1"/>
    <mergeCell ref="A3:M5"/>
    <mergeCell ref="L7:M7"/>
    <mergeCell ref="A8:A10"/>
    <mergeCell ref="B8:B10"/>
    <mergeCell ref="C8:C10"/>
    <mergeCell ref="D8:D10"/>
    <mergeCell ref="E8:E10"/>
    <mergeCell ref="F8:F10"/>
  </mergeCells>
  <printOptions/>
  <pageMargins left="0.32" right="0.22" top="1" bottom="1" header="0.5" footer="0.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26"/>
  <sheetViews>
    <sheetView view="pageBreakPreview" zoomScale="60" workbookViewId="0" topLeftCell="A1">
      <selection activeCell="D25" sqref="D25"/>
    </sheetView>
  </sheetViews>
  <sheetFormatPr defaultColWidth="9.140625" defaultRowHeight="12.75"/>
  <cols>
    <col min="1" max="1" width="43.28125" style="0" customWidth="1"/>
    <col min="2" max="2" width="10.8515625" style="0" customWidth="1"/>
    <col min="3" max="3" width="11.8515625" style="0" customWidth="1"/>
    <col min="4" max="4" width="12.00390625" style="0" customWidth="1"/>
    <col min="5" max="5" width="12.421875" style="0" customWidth="1"/>
    <col min="6" max="6" width="12.140625" style="0" customWidth="1"/>
    <col min="7" max="7" width="12.7109375" style="0" customWidth="1"/>
    <col min="8" max="8" width="12.28125" style="0" customWidth="1"/>
    <col min="9" max="9" width="12.00390625" style="0" customWidth="1"/>
    <col min="10" max="10" width="8.8515625" style="0" customWidth="1"/>
    <col min="11" max="11" width="10.28125" style="0" customWidth="1"/>
    <col min="12" max="13" width="11.8515625" style="0" customWidth="1"/>
  </cols>
  <sheetData>
    <row r="2" spans="12:13" ht="12.75">
      <c r="L2" s="2448" t="s">
        <v>1953</v>
      </c>
      <c r="M2" s="2448"/>
    </row>
    <row r="3" spans="1:13" ht="12.75">
      <c r="A3" s="2419" t="s">
        <v>700</v>
      </c>
      <c r="B3" s="2419"/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</row>
    <row r="5" spans="1:13" ht="21" customHeight="1">
      <c r="A5" s="2452" t="s">
        <v>699</v>
      </c>
      <c r="B5" s="2452"/>
      <c r="C5" s="2452"/>
      <c r="D5" s="2452"/>
      <c r="E5" s="2452"/>
      <c r="F5" s="2452"/>
      <c r="G5" s="2452"/>
      <c r="H5" s="2452"/>
      <c r="I5" s="2452"/>
      <c r="J5" s="2452"/>
      <c r="K5" s="2452"/>
      <c r="L5" s="2452"/>
      <c r="M5" s="2452"/>
    </row>
    <row r="6" spans="12:13" ht="16.5" customHeight="1" thickBot="1">
      <c r="L6" s="2453" t="s">
        <v>1371</v>
      </c>
      <c r="M6" s="2453"/>
    </row>
    <row r="7" spans="1:14" ht="38.25" customHeight="1" thickBot="1">
      <c r="A7" s="2241" t="s">
        <v>1432</v>
      </c>
      <c r="B7" s="2449" t="s">
        <v>694</v>
      </c>
      <c r="C7" s="2450"/>
      <c r="D7" s="2449" t="s">
        <v>1624</v>
      </c>
      <c r="E7" s="2450"/>
      <c r="F7" s="2449" t="s">
        <v>695</v>
      </c>
      <c r="G7" s="2450"/>
      <c r="H7" s="2449" t="s">
        <v>572</v>
      </c>
      <c r="I7" s="2450"/>
      <c r="J7" s="2449" t="s">
        <v>1333</v>
      </c>
      <c r="K7" s="2450"/>
      <c r="L7" s="2449" t="s">
        <v>2258</v>
      </c>
      <c r="M7" s="2451"/>
      <c r="N7" s="464"/>
    </row>
    <row r="8" spans="1:14" ht="12.75">
      <c r="A8" s="2247"/>
      <c r="B8" s="2242" t="s">
        <v>697</v>
      </c>
      <c r="C8" s="2239" t="s">
        <v>698</v>
      </c>
      <c r="D8" s="2238" t="s">
        <v>697</v>
      </c>
      <c r="E8" s="2239" t="s">
        <v>698</v>
      </c>
      <c r="F8" s="2238" t="s">
        <v>697</v>
      </c>
      <c r="G8" s="2239" t="s">
        <v>698</v>
      </c>
      <c r="H8" s="2238" t="s">
        <v>697</v>
      </c>
      <c r="I8" s="2239" t="s">
        <v>698</v>
      </c>
      <c r="J8" s="2238" t="s">
        <v>697</v>
      </c>
      <c r="K8" s="2239" t="s">
        <v>698</v>
      </c>
      <c r="L8" s="2238" t="s">
        <v>697</v>
      </c>
      <c r="M8" s="2240" t="s">
        <v>698</v>
      </c>
      <c r="N8" s="464"/>
    </row>
    <row r="9" spans="1:13" ht="25.5">
      <c r="A9" s="2248" t="s">
        <v>2123</v>
      </c>
      <c r="B9" s="2243">
        <v>0</v>
      </c>
      <c r="C9" s="2131">
        <v>0</v>
      </c>
      <c r="D9" s="2131">
        <v>0</v>
      </c>
      <c r="E9" s="2131">
        <v>0</v>
      </c>
      <c r="F9" s="2131">
        <v>0</v>
      </c>
      <c r="G9" s="2131">
        <v>0</v>
      </c>
      <c r="H9" s="2131">
        <v>0</v>
      </c>
      <c r="I9" s="2131">
        <v>0</v>
      </c>
      <c r="J9" s="2131">
        <v>0</v>
      </c>
      <c r="K9" s="2131">
        <v>0</v>
      </c>
      <c r="L9" s="2131">
        <f>B9+D9+F9+H9+J9</f>
        <v>0</v>
      </c>
      <c r="M9" s="2234">
        <f>C9+E9+G9+I9+K9</f>
        <v>0</v>
      </c>
    </row>
    <row r="10" spans="1:13" ht="25.5">
      <c r="A10" s="2248" t="s">
        <v>2124</v>
      </c>
      <c r="B10" s="2243">
        <v>0</v>
      </c>
      <c r="C10" s="2131">
        <v>852</v>
      </c>
      <c r="D10" s="2131">
        <v>147262</v>
      </c>
      <c r="E10" s="2131">
        <v>89960</v>
      </c>
      <c r="F10" s="2131">
        <v>0</v>
      </c>
      <c r="G10" s="2131">
        <v>4489</v>
      </c>
      <c r="H10" s="2131">
        <v>0</v>
      </c>
      <c r="I10" s="2131">
        <v>3225</v>
      </c>
      <c r="J10" s="2131">
        <v>0</v>
      </c>
      <c r="K10" s="2131">
        <v>98</v>
      </c>
      <c r="L10" s="2131">
        <f aca="true" t="shared" si="0" ref="L10:L21">B10+D10+F10+H10+J10</f>
        <v>147262</v>
      </c>
      <c r="M10" s="2234">
        <f aca="true" t="shared" si="1" ref="M10:M21">C10+E10+G10+I10+K10</f>
        <v>98624</v>
      </c>
    </row>
    <row r="11" spans="1:13" ht="12.75">
      <c r="A11" s="2248" t="s">
        <v>2125</v>
      </c>
      <c r="B11" s="2243">
        <v>0</v>
      </c>
      <c r="C11" s="2131">
        <v>1</v>
      </c>
      <c r="D11" s="2131">
        <v>30</v>
      </c>
      <c r="E11" s="2131">
        <v>37</v>
      </c>
      <c r="F11" s="2131">
        <v>0</v>
      </c>
      <c r="G11" s="2131">
        <v>0</v>
      </c>
      <c r="H11" s="2131">
        <v>0</v>
      </c>
      <c r="I11" s="2131"/>
      <c r="J11" s="2131">
        <v>0</v>
      </c>
      <c r="K11" s="2131">
        <v>0</v>
      </c>
      <c r="L11" s="2131">
        <f t="shared" si="0"/>
        <v>30</v>
      </c>
      <c r="M11" s="2234">
        <f t="shared" si="1"/>
        <v>38</v>
      </c>
    </row>
    <row r="12" spans="1:13" ht="12.75">
      <c r="A12" s="2249" t="s">
        <v>2126</v>
      </c>
      <c r="B12" s="2244">
        <v>0</v>
      </c>
      <c r="C12" s="2177">
        <f>SUM(C9:C11)</f>
        <v>853</v>
      </c>
      <c r="D12" s="2177">
        <f>SUM(D9:D11)</f>
        <v>147292</v>
      </c>
      <c r="E12" s="2177">
        <f>SUM(E9:E11)</f>
        <v>89997</v>
      </c>
      <c r="F12" s="2177">
        <v>0</v>
      </c>
      <c r="G12" s="2177">
        <f>SUM(G9:G11)</f>
        <v>4489</v>
      </c>
      <c r="H12" s="2177">
        <v>0</v>
      </c>
      <c r="I12" s="2177">
        <f>SUM(I9:I11)</f>
        <v>3225</v>
      </c>
      <c r="J12" s="2177">
        <v>0</v>
      </c>
      <c r="K12" s="2177">
        <f>SUM(K9:K11)</f>
        <v>98</v>
      </c>
      <c r="L12" s="2177">
        <f t="shared" si="0"/>
        <v>147292</v>
      </c>
      <c r="M12" s="2235">
        <f t="shared" si="1"/>
        <v>98662</v>
      </c>
    </row>
    <row r="13" spans="1:13" ht="30" customHeight="1">
      <c r="A13" s="2249" t="s">
        <v>2127</v>
      </c>
      <c r="B13" s="2245">
        <v>0</v>
      </c>
      <c r="C13" s="2131">
        <v>0</v>
      </c>
      <c r="D13" s="2131"/>
      <c r="E13" s="2131">
        <v>-17789</v>
      </c>
      <c r="F13" s="2131">
        <v>0</v>
      </c>
      <c r="G13" s="2131">
        <v>0</v>
      </c>
      <c r="H13" s="2131">
        <v>0</v>
      </c>
      <c r="I13" s="2131">
        <v>0</v>
      </c>
      <c r="J13" s="2131">
        <v>0</v>
      </c>
      <c r="K13" s="2131">
        <v>0</v>
      </c>
      <c r="L13" s="2131">
        <f t="shared" si="0"/>
        <v>0</v>
      </c>
      <c r="M13" s="2234">
        <f t="shared" si="1"/>
        <v>-17789</v>
      </c>
    </row>
    <row r="14" spans="1:13" ht="12.75">
      <c r="A14" s="2248" t="s">
        <v>2128</v>
      </c>
      <c r="B14" s="2243">
        <v>0</v>
      </c>
      <c r="C14" s="2131">
        <v>2241</v>
      </c>
      <c r="D14" s="2131">
        <v>4332</v>
      </c>
      <c r="E14" s="2131">
        <v>5841</v>
      </c>
      <c r="F14" s="2131">
        <v>0</v>
      </c>
      <c r="G14" s="2131">
        <v>2249</v>
      </c>
      <c r="H14" s="2131">
        <v>0</v>
      </c>
      <c r="I14" s="2131">
        <v>486</v>
      </c>
      <c r="J14" s="2131">
        <v>0</v>
      </c>
      <c r="K14" s="2131">
        <v>9</v>
      </c>
      <c r="L14" s="2131">
        <f t="shared" si="0"/>
        <v>4332</v>
      </c>
      <c r="M14" s="2234">
        <f t="shared" si="1"/>
        <v>10826</v>
      </c>
    </row>
    <row r="15" spans="1:13" ht="25.5">
      <c r="A15" s="2248" t="s">
        <v>2129</v>
      </c>
      <c r="B15" s="2243">
        <v>0</v>
      </c>
      <c r="C15" s="2131">
        <v>0</v>
      </c>
      <c r="D15" s="2131">
        <v>-368</v>
      </c>
      <c r="E15" s="2131">
        <v>-78</v>
      </c>
      <c r="F15" s="2131">
        <v>0</v>
      </c>
      <c r="G15" s="2131">
        <v>0</v>
      </c>
      <c r="H15" s="2131">
        <v>0</v>
      </c>
      <c r="I15" s="2131">
        <v>0</v>
      </c>
      <c r="J15" s="2131">
        <v>0</v>
      </c>
      <c r="K15" s="2131">
        <v>0</v>
      </c>
      <c r="L15" s="2131">
        <f t="shared" si="0"/>
        <v>-368</v>
      </c>
      <c r="M15" s="2234">
        <f t="shared" si="1"/>
        <v>-78</v>
      </c>
    </row>
    <row r="16" spans="1:13" ht="25.5">
      <c r="A16" s="2249" t="s">
        <v>487</v>
      </c>
      <c r="B16" s="2245">
        <v>0</v>
      </c>
      <c r="C16" s="2131">
        <f>SUM(C14:C15)</f>
        <v>2241</v>
      </c>
      <c r="D16" s="2131">
        <f>SUM(D14:D15)</f>
        <v>3964</v>
      </c>
      <c r="E16" s="2131">
        <f>SUM(E14:E15)</f>
        <v>5763</v>
      </c>
      <c r="F16" s="2131">
        <v>0</v>
      </c>
      <c r="G16" s="2131">
        <f>SUM(G14:G15)</f>
        <v>2249</v>
      </c>
      <c r="H16" s="2131">
        <v>0</v>
      </c>
      <c r="I16" s="2131">
        <f>SUM(I14:I15)</f>
        <v>486</v>
      </c>
      <c r="J16" s="2131">
        <f>SUM(J14:J15)</f>
        <v>0</v>
      </c>
      <c r="K16" s="2131">
        <f>SUM(K14:K15)</f>
        <v>9</v>
      </c>
      <c r="L16" s="2131">
        <f t="shared" si="0"/>
        <v>3964</v>
      </c>
      <c r="M16" s="2234">
        <f t="shared" si="1"/>
        <v>10748</v>
      </c>
    </row>
    <row r="17" spans="1:13" ht="25.5">
      <c r="A17" s="2249" t="s">
        <v>488</v>
      </c>
      <c r="B17" s="2245">
        <v>0</v>
      </c>
      <c r="C17" s="2131">
        <v>0</v>
      </c>
      <c r="D17" s="2131">
        <v>-178285</v>
      </c>
      <c r="E17" s="2131">
        <v>-177286</v>
      </c>
      <c r="F17" s="2131">
        <v>0</v>
      </c>
      <c r="G17" s="2131">
        <v>0</v>
      </c>
      <c r="H17" s="2131">
        <v>0</v>
      </c>
      <c r="I17" s="2131">
        <v>0</v>
      </c>
      <c r="J17" s="2131">
        <v>0</v>
      </c>
      <c r="K17" s="2131">
        <v>0</v>
      </c>
      <c r="L17" s="2131">
        <f t="shared" si="0"/>
        <v>-178285</v>
      </c>
      <c r="M17" s="2234">
        <f t="shared" si="1"/>
        <v>-177286</v>
      </c>
    </row>
    <row r="18" spans="1:13" ht="19.5" customHeight="1">
      <c r="A18" s="2249" t="s">
        <v>693</v>
      </c>
      <c r="B18" s="2244">
        <v>0</v>
      </c>
      <c r="C18" s="2177">
        <f>C12+C13+C16+C17</f>
        <v>3094</v>
      </c>
      <c r="D18" s="2177">
        <f>D12+D13+D16-D17</f>
        <v>329541</v>
      </c>
      <c r="E18" s="2177">
        <f>E12+E13+E16-E17</f>
        <v>255257</v>
      </c>
      <c r="F18" s="2177">
        <f>F12+F13+F16-F17</f>
        <v>0</v>
      </c>
      <c r="G18" s="2177">
        <f>G12+G13+G16-G17</f>
        <v>6738</v>
      </c>
      <c r="H18" s="2177">
        <v>0</v>
      </c>
      <c r="I18" s="2177">
        <f>I12+I13+I16+I17</f>
        <v>3711</v>
      </c>
      <c r="J18" s="2177">
        <f>J12+J13+J16+J17</f>
        <v>0</v>
      </c>
      <c r="K18" s="2177">
        <f>K12+K13+K16+K17</f>
        <v>107</v>
      </c>
      <c r="L18" s="2177">
        <f t="shared" si="0"/>
        <v>329541</v>
      </c>
      <c r="M18" s="2235">
        <f t="shared" si="1"/>
        <v>268907</v>
      </c>
    </row>
    <row r="19" spans="1:13" ht="19.5" customHeight="1">
      <c r="A19" s="2249" t="s">
        <v>489</v>
      </c>
      <c r="B19" s="2245">
        <v>0</v>
      </c>
      <c r="C19" s="2131">
        <v>0</v>
      </c>
      <c r="D19" s="2131">
        <v>2395</v>
      </c>
      <c r="E19" s="2131">
        <v>-745</v>
      </c>
      <c r="F19" s="2131">
        <v>0</v>
      </c>
      <c r="G19" s="2131">
        <v>0</v>
      </c>
      <c r="H19" s="2131">
        <v>0</v>
      </c>
      <c r="I19" s="2131">
        <v>0</v>
      </c>
      <c r="J19" s="2131">
        <v>0</v>
      </c>
      <c r="K19" s="2131">
        <v>0</v>
      </c>
      <c r="L19" s="2131">
        <f t="shared" si="0"/>
        <v>2395</v>
      </c>
      <c r="M19" s="2234">
        <f t="shared" si="1"/>
        <v>-745</v>
      </c>
    </row>
    <row r="20" spans="1:13" ht="18" customHeight="1">
      <c r="A20" s="2249" t="s">
        <v>490</v>
      </c>
      <c r="B20" s="2245">
        <v>0</v>
      </c>
      <c r="C20" s="2131">
        <v>0</v>
      </c>
      <c r="D20" s="2131">
        <v>0</v>
      </c>
      <c r="E20" s="2131">
        <v>0</v>
      </c>
      <c r="F20" s="2131">
        <v>0</v>
      </c>
      <c r="G20" s="2131">
        <v>0</v>
      </c>
      <c r="H20" s="2131">
        <v>0</v>
      </c>
      <c r="I20" s="2131">
        <v>0</v>
      </c>
      <c r="J20" s="2131">
        <v>0</v>
      </c>
      <c r="K20" s="2131">
        <v>0</v>
      </c>
      <c r="L20" s="2131">
        <f t="shared" si="0"/>
        <v>0</v>
      </c>
      <c r="M20" s="2234">
        <f t="shared" si="1"/>
        <v>0</v>
      </c>
    </row>
    <row r="21" spans="1:13" ht="20.25" customHeight="1" thickBot="1">
      <c r="A21" s="2250" t="s">
        <v>696</v>
      </c>
      <c r="B21" s="2246">
        <v>0</v>
      </c>
      <c r="C21" s="2236">
        <f>SUM(C18:C20)</f>
        <v>3094</v>
      </c>
      <c r="D21" s="2236">
        <f>SUM(D18:D20)</f>
        <v>331936</v>
      </c>
      <c r="E21" s="2236">
        <f>SUM(E18:E20)</f>
        <v>254512</v>
      </c>
      <c r="F21" s="2236">
        <v>0</v>
      </c>
      <c r="G21" s="2236">
        <f>SUM(G18:G20)</f>
        <v>6738</v>
      </c>
      <c r="H21" s="2236">
        <v>0</v>
      </c>
      <c r="I21" s="2236">
        <f>SUM(I18:I20)</f>
        <v>3711</v>
      </c>
      <c r="J21" s="2236">
        <f>SUM(J18:J20)</f>
        <v>0</v>
      </c>
      <c r="K21" s="2236">
        <f>SUM(K18:K20)</f>
        <v>107</v>
      </c>
      <c r="L21" s="2236">
        <f t="shared" si="0"/>
        <v>331936</v>
      </c>
      <c r="M21" s="2237">
        <f t="shared" si="1"/>
        <v>268162</v>
      </c>
    </row>
    <row r="22" spans="1:2" ht="12.75">
      <c r="A22" s="464"/>
      <c r="B22" s="464"/>
    </row>
    <row r="23" spans="1:2" ht="12.75">
      <c r="A23" s="464"/>
      <c r="B23" s="464"/>
    </row>
    <row r="24" spans="1:2" ht="12.75">
      <c r="A24" s="464"/>
      <c r="B24" s="464"/>
    </row>
    <row r="25" spans="1:2" ht="12.75">
      <c r="A25" s="464"/>
      <c r="B25" s="464"/>
    </row>
    <row r="26" spans="1:2" ht="12.75">
      <c r="A26" s="464"/>
      <c r="B26" s="464"/>
    </row>
  </sheetData>
  <mergeCells count="10">
    <mergeCell ref="L2:M2"/>
    <mergeCell ref="J7:K7"/>
    <mergeCell ref="L7:M7"/>
    <mergeCell ref="A5:M5"/>
    <mergeCell ref="A3:M3"/>
    <mergeCell ref="B7:C7"/>
    <mergeCell ref="D7:E7"/>
    <mergeCell ref="F7:G7"/>
    <mergeCell ref="H7:I7"/>
    <mergeCell ref="L6:M6"/>
  </mergeCells>
  <printOptions/>
  <pageMargins left="0.75" right="0.75" top="1" bottom="1" header="0.5" footer="0.5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C57"/>
  <sheetViews>
    <sheetView view="pageBreakPreview" zoomScale="80" zoomScaleNormal="90" zoomScaleSheetLayoutView="80" zoomScalePageLayoutView="0" workbookViewId="0" topLeftCell="O4">
      <selection activeCell="P53" sqref="P53"/>
    </sheetView>
  </sheetViews>
  <sheetFormatPr defaultColWidth="9.140625" defaultRowHeight="12.75"/>
  <cols>
    <col min="1" max="1" width="47.7109375" style="0" bestFit="1" customWidth="1"/>
    <col min="2" max="2" width="11.140625" style="0" customWidth="1"/>
    <col min="3" max="4" width="9.28125" style="0" bestFit="1" customWidth="1"/>
    <col min="5" max="5" width="8.8515625" style="0" bestFit="1" customWidth="1"/>
    <col min="6" max="6" width="10.8515625" style="0" bestFit="1" customWidth="1"/>
    <col min="7" max="8" width="9.28125" style="0" bestFit="1" customWidth="1"/>
    <col min="9" max="9" width="8.8515625" style="0" bestFit="1" customWidth="1"/>
    <col min="10" max="10" width="10.8515625" style="0" customWidth="1"/>
    <col min="11" max="12" width="9.28125" style="0" bestFit="1" customWidth="1"/>
    <col min="13" max="13" width="8.8515625" style="0" bestFit="1" customWidth="1"/>
    <col min="14" max="14" width="10.8515625" style="0" bestFit="1" customWidth="1"/>
    <col min="15" max="16" width="9.28125" style="0" bestFit="1" customWidth="1"/>
    <col min="17" max="17" width="10.140625" style="0" customWidth="1"/>
    <col min="18" max="18" width="10.8515625" style="0" bestFit="1" customWidth="1"/>
    <col min="19" max="20" width="9.28125" style="0" bestFit="1" customWidth="1"/>
    <col min="21" max="21" width="7.8515625" style="0" bestFit="1" customWidth="1"/>
    <col min="22" max="22" width="10.8515625" style="0" bestFit="1" customWidth="1"/>
    <col min="23" max="24" width="9.28125" style="0" bestFit="1" customWidth="1"/>
    <col min="25" max="25" width="10.00390625" style="0" customWidth="1"/>
    <col min="26" max="26" width="10.8515625" style="0" bestFit="1" customWidth="1"/>
    <col min="27" max="28" width="9.8515625" style="0" bestFit="1" customWidth="1"/>
    <col min="29" max="29" width="10.8515625" style="0" customWidth="1"/>
  </cols>
  <sheetData>
    <row r="1" spans="26:29" ht="12.75">
      <c r="Z1" s="2387" t="s">
        <v>786</v>
      </c>
      <c r="AA1" s="2387"/>
      <c r="AB1" s="2387"/>
      <c r="AC1" s="2387"/>
    </row>
    <row r="2" spans="1:27" ht="12.75">
      <c r="A2" s="2419" t="s">
        <v>1343</v>
      </c>
      <c r="B2" s="2419"/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  <c r="N2" s="2419"/>
      <c r="O2" s="2419"/>
      <c r="P2" s="2419"/>
      <c r="Q2" s="2419"/>
      <c r="R2" s="2419"/>
      <c r="S2" s="2419"/>
      <c r="T2" s="2419"/>
      <c r="U2" s="2419"/>
      <c r="V2" s="2419"/>
      <c r="W2" s="2419"/>
      <c r="X2" s="2419"/>
      <c r="Y2" s="2419"/>
      <c r="Z2" s="2419"/>
      <c r="AA2" s="32"/>
    </row>
    <row r="3" spans="1:29" ht="46.5" customHeight="1">
      <c r="A3" s="2421" t="s">
        <v>2098</v>
      </c>
      <c r="B3" s="2421"/>
      <c r="C3" s="2421"/>
      <c r="D3" s="2421"/>
      <c r="E3" s="2421"/>
      <c r="F3" s="2421"/>
      <c r="G3" s="2421"/>
      <c r="H3" s="2421"/>
      <c r="I3" s="2421"/>
      <c r="J3" s="2421"/>
      <c r="K3" s="2421"/>
      <c r="L3" s="2421"/>
      <c r="M3" s="2421"/>
      <c r="N3" s="2421"/>
      <c r="O3" s="2421"/>
      <c r="P3" s="2421"/>
      <c r="Q3" s="2421"/>
      <c r="R3" s="2421"/>
      <c r="S3" s="2421"/>
      <c r="T3" s="2421"/>
      <c r="U3" s="2421"/>
      <c r="V3" s="2421"/>
      <c r="W3" s="2421"/>
      <c r="X3" s="2421"/>
      <c r="Y3" s="2421"/>
      <c r="Z3" s="2421"/>
      <c r="AA3" s="2421"/>
      <c r="AB3" s="2421"/>
      <c r="AC3" s="2421"/>
    </row>
    <row r="4" spans="26:27" ht="12.75">
      <c r="Z4" s="2420" t="s">
        <v>1371</v>
      </c>
      <c r="AA4" s="2420"/>
    </row>
    <row r="5" spans="1:29" ht="12.75" customHeight="1">
      <c r="A5" s="2415" t="s">
        <v>1970</v>
      </c>
      <c r="B5" s="2403" t="s">
        <v>19</v>
      </c>
      <c r="C5" s="2404"/>
      <c r="D5" s="2404"/>
      <c r="E5" s="2405"/>
      <c r="F5" s="2403" t="s">
        <v>1535</v>
      </c>
      <c r="G5" s="2404"/>
      <c r="H5" s="2404"/>
      <c r="I5" s="2405"/>
      <c r="J5" s="2403" t="s">
        <v>1239</v>
      </c>
      <c r="K5" s="2404"/>
      <c r="L5" s="2404"/>
      <c r="M5" s="2405"/>
      <c r="N5" s="2400" t="s">
        <v>1240</v>
      </c>
      <c r="O5" s="2401"/>
      <c r="P5" s="2401"/>
      <c r="Q5" s="2401"/>
      <c r="R5" s="2401"/>
      <c r="S5" s="2401"/>
      <c r="T5" s="2401"/>
      <c r="U5" s="2402"/>
      <c r="V5" s="2403" t="s">
        <v>1537</v>
      </c>
      <c r="W5" s="2404"/>
      <c r="X5" s="2404"/>
      <c r="Y5" s="2405"/>
      <c r="Z5" s="2409" t="s">
        <v>1431</v>
      </c>
      <c r="AA5" s="2410"/>
      <c r="AB5" s="2410"/>
      <c r="AC5" s="2411"/>
    </row>
    <row r="6" spans="1:29" ht="24" customHeight="1">
      <c r="A6" s="2415"/>
      <c r="B6" s="2406"/>
      <c r="C6" s="2407"/>
      <c r="D6" s="2407"/>
      <c r="E6" s="2408"/>
      <c r="F6" s="2406"/>
      <c r="G6" s="2407"/>
      <c r="H6" s="2407"/>
      <c r="I6" s="2408"/>
      <c r="J6" s="2406"/>
      <c r="K6" s="2407"/>
      <c r="L6" s="2407"/>
      <c r="M6" s="2408"/>
      <c r="N6" s="2416" t="s">
        <v>1241</v>
      </c>
      <c r="O6" s="2417"/>
      <c r="P6" s="2417"/>
      <c r="Q6" s="2418"/>
      <c r="R6" s="2416" t="s">
        <v>1536</v>
      </c>
      <c r="S6" s="2417"/>
      <c r="T6" s="2417"/>
      <c r="U6" s="2418"/>
      <c r="V6" s="2406"/>
      <c r="W6" s="2407"/>
      <c r="X6" s="2407"/>
      <c r="Y6" s="2408"/>
      <c r="Z6" s="2412"/>
      <c r="AA6" s="2413"/>
      <c r="AB6" s="2413"/>
      <c r="AC6" s="2414"/>
    </row>
    <row r="7" spans="1:29" ht="12.75">
      <c r="A7" s="2415"/>
      <c r="B7" s="198" t="s">
        <v>1415</v>
      </c>
      <c r="C7" s="198" t="s">
        <v>1538</v>
      </c>
      <c r="D7" s="198" t="s">
        <v>822</v>
      </c>
      <c r="E7" s="198" t="s">
        <v>1353</v>
      </c>
      <c r="F7" s="198" t="s">
        <v>1415</v>
      </c>
      <c r="G7" s="198" t="s">
        <v>1538</v>
      </c>
      <c r="H7" s="198" t="s">
        <v>822</v>
      </c>
      <c r="I7" s="198" t="s">
        <v>1353</v>
      </c>
      <c r="J7" s="198" t="s">
        <v>1415</v>
      </c>
      <c r="K7" s="198" t="s">
        <v>1538</v>
      </c>
      <c r="L7" s="198" t="s">
        <v>822</v>
      </c>
      <c r="M7" s="198" t="s">
        <v>1353</v>
      </c>
      <c r="N7" s="198" t="s">
        <v>1415</v>
      </c>
      <c r="O7" s="198" t="s">
        <v>1538</v>
      </c>
      <c r="P7" s="198" t="s">
        <v>822</v>
      </c>
      <c r="Q7" s="198" t="s">
        <v>1353</v>
      </c>
      <c r="R7" s="198" t="s">
        <v>1415</v>
      </c>
      <c r="S7" s="198" t="s">
        <v>1538</v>
      </c>
      <c r="T7" s="198" t="s">
        <v>822</v>
      </c>
      <c r="U7" s="198" t="s">
        <v>1353</v>
      </c>
      <c r="V7" s="198" t="s">
        <v>1415</v>
      </c>
      <c r="W7" s="198" t="s">
        <v>1538</v>
      </c>
      <c r="X7" s="198" t="s">
        <v>822</v>
      </c>
      <c r="Y7" s="198" t="s">
        <v>1353</v>
      </c>
      <c r="Z7" s="198" t="s">
        <v>1415</v>
      </c>
      <c r="AA7" s="198" t="s">
        <v>1538</v>
      </c>
      <c r="AB7" s="39" t="s">
        <v>822</v>
      </c>
      <c r="AC7" s="227" t="s">
        <v>1353</v>
      </c>
    </row>
    <row r="8" spans="1:29" ht="12.75">
      <c r="A8" s="1992" t="s">
        <v>1314</v>
      </c>
      <c r="B8" s="39">
        <f>'841126-116-Önk. igazgatás'!E202</f>
        <v>3500</v>
      </c>
      <c r="C8" s="39">
        <v>3500</v>
      </c>
      <c r="D8" s="39">
        <v>1855</v>
      </c>
      <c r="E8" s="2032">
        <f>D8/C8</f>
        <v>0.53</v>
      </c>
      <c r="F8" s="39"/>
      <c r="G8" s="39"/>
      <c r="H8" s="39"/>
      <c r="I8" s="2032"/>
      <c r="J8" s="39"/>
      <c r="K8" s="39"/>
      <c r="L8" s="2031"/>
      <c r="M8" s="2031"/>
      <c r="N8" s="22"/>
      <c r="O8" s="39"/>
      <c r="P8" s="39"/>
      <c r="Q8" s="2032"/>
      <c r="R8" s="39"/>
      <c r="S8" s="39"/>
      <c r="T8" s="39"/>
      <c r="U8" s="39"/>
      <c r="V8" s="39"/>
      <c r="W8" s="39"/>
      <c r="X8" s="39"/>
      <c r="Y8" s="39"/>
      <c r="Z8" s="39">
        <f>+B8+F8+J8+N8+R8+V8</f>
        <v>3500</v>
      </c>
      <c r="AA8" s="39">
        <f aca="true" t="shared" si="0" ref="AA8:AB11">+C8+G8+K8+O8+S8+W8</f>
        <v>3500</v>
      </c>
      <c r="AB8" s="39">
        <f t="shared" si="0"/>
        <v>1855</v>
      </c>
      <c r="AC8" s="2032">
        <f>AB8/AA8</f>
        <v>0.53</v>
      </c>
    </row>
    <row r="9" spans="1:29" s="1984" customFormat="1" ht="12.75">
      <c r="A9" s="1992" t="s">
        <v>1421</v>
      </c>
      <c r="B9" s="39"/>
      <c r="C9" s="39"/>
      <c r="D9" s="39"/>
      <c r="E9" s="2032"/>
      <c r="F9" s="39"/>
      <c r="G9" s="39"/>
      <c r="H9" s="39"/>
      <c r="I9" s="2032"/>
      <c r="J9" s="39"/>
      <c r="K9" s="39"/>
      <c r="L9" s="39"/>
      <c r="M9" s="39"/>
      <c r="N9" s="17">
        <f>'841126-116-Önk. igazgatás'!E214</f>
        <v>14807.84120126862</v>
      </c>
      <c r="O9" s="17">
        <v>14808</v>
      </c>
      <c r="P9" s="17"/>
      <c r="Q9" s="2032">
        <f>P9/O9</f>
        <v>0</v>
      </c>
      <c r="R9" s="39"/>
      <c r="S9" s="39"/>
      <c r="T9" s="39"/>
      <c r="U9" s="39"/>
      <c r="V9" s="39"/>
      <c r="W9" s="39"/>
      <c r="X9" s="39"/>
      <c r="Y9" s="39"/>
      <c r="Z9" s="39">
        <f>+B9+F9+J9+N9+R9+V9</f>
        <v>14807.84120126862</v>
      </c>
      <c r="AA9" s="39">
        <f t="shared" si="0"/>
        <v>14808</v>
      </c>
      <c r="AB9" s="39">
        <f t="shared" si="0"/>
        <v>0</v>
      </c>
      <c r="AC9" s="2032">
        <f aca="true" t="shared" si="1" ref="AC9:AC57">AB9/AA9</f>
        <v>0</v>
      </c>
    </row>
    <row r="10" spans="1:29" ht="12.75">
      <c r="A10" s="1992" t="s">
        <v>1539</v>
      </c>
      <c r="B10" s="39"/>
      <c r="C10" s="39"/>
      <c r="D10" s="39"/>
      <c r="E10" s="2032"/>
      <c r="F10" s="39"/>
      <c r="G10" s="39"/>
      <c r="H10" s="39"/>
      <c r="I10" s="2032"/>
      <c r="J10" s="39"/>
      <c r="K10" s="39"/>
      <c r="L10" s="39"/>
      <c r="M10" s="39"/>
      <c r="N10" s="17">
        <f>'841126-116-Önk. igazgatás'!E221</f>
        <v>1549</v>
      </c>
      <c r="O10" s="17">
        <v>1549</v>
      </c>
      <c r="P10" s="17"/>
      <c r="Q10" s="2032">
        <f>P10/O10</f>
        <v>0</v>
      </c>
      <c r="R10" s="15"/>
      <c r="S10" s="15"/>
      <c r="T10" s="15"/>
      <c r="U10" s="15"/>
      <c r="V10" s="39"/>
      <c r="W10" s="39"/>
      <c r="X10" s="39"/>
      <c r="Y10" s="39"/>
      <c r="Z10" s="39">
        <f>+B10+F10+J10+N10+R10+V10</f>
        <v>1549</v>
      </c>
      <c r="AA10" s="39">
        <f t="shared" si="0"/>
        <v>1549</v>
      </c>
      <c r="AB10" s="39">
        <f t="shared" si="0"/>
        <v>0</v>
      </c>
      <c r="AC10" s="2032">
        <f t="shared" si="1"/>
        <v>0</v>
      </c>
    </row>
    <row r="11" spans="1:29" ht="12.75">
      <c r="A11" s="1992" t="s">
        <v>1540</v>
      </c>
      <c r="B11" s="39"/>
      <c r="C11" s="39"/>
      <c r="D11" s="39"/>
      <c r="E11" s="2032"/>
      <c r="F11" s="39"/>
      <c r="G11" s="39"/>
      <c r="H11" s="39"/>
      <c r="I11" s="2032"/>
      <c r="J11" s="39"/>
      <c r="K11" s="39"/>
      <c r="L11" s="39"/>
      <c r="M11" s="39"/>
      <c r="N11" s="17">
        <f>'841126-116-Önk. igazgatás'!E220</f>
        <v>19203</v>
      </c>
      <c r="O11" s="17">
        <v>19203</v>
      </c>
      <c r="P11" s="17">
        <v>4853</v>
      </c>
      <c r="Q11" s="2032">
        <f>P11/O11</f>
        <v>0.25272092902150706</v>
      </c>
      <c r="R11" s="39"/>
      <c r="S11" s="39"/>
      <c r="T11" s="39"/>
      <c r="U11" s="39"/>
      <c r="V11" s="39"/>
      <c r="W11" s="39"/>
      <c r="X11" s="39"/>
      <c r="Y11" s="39"/>
      <c r="Z11" s="39">
        <f>+B11+F11+J11+N11+R11+V11</f>
        <v>19203</v>
      </c>
      <c r="AA11" s="39">
        <f t="shared" si="0"/>
        <v>19203</v>
      </c>
      <c r="AB11" s="39">
        <f t="shared" si="0"/>
        <v>4853</v>
      </c>
      <c r="AC11" s="2032">
        <f t="shared" si="1"/>
        <v>0.25272092902150706</v>
      </c>
    </row>
    <row r="12" spans="1:29" ht="12.75">
      <c r="A12" s="55" t="s">
        <v>2257</v>
      </c>
      <c r="B12" s="50">
        <f>SUM(B8:B11)</f>
        <v>3500</v>
      </c>
      <c r="C12" s="50">
        <f aca="true" t="shared" si="2" ref="C12:N12">SUM(C8:C11)</f>
        <v>3500</v>
      </c>
      <c r="D12" s="50">
        <f t="shared" si="2"/>
        <v>1855</v>
      </c>
      <c r="E12" s="2032">
        <f>D12/C12</f>
        <v>0.53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2032">
        <v>0</v>
      </c>
      <c r="J12" s="50">
        <f t="shared" si="2"/>
        <v>0</v>
      </c>
      <c r="K12" s="50">
        <f t="shared" si="2"/>
        <v>0</v>
      </c>
      <c r="L12" s="50">
        <f t="shared" si="2"/>
        <v>0</v>
      </c>
      <c r="M12" s="50">
        <f t="shared" si="2"/>
        <v>0</v>
      </c>
      <c r="N12" s="50">
        <f t="shared" si="2"/>
        <v>35559.84120126862</v>
      </c>
      <c r="O12" s="50">
        <f aca="true" t="shared" si="3" ref="O12:AB12">SUM(O8:O11)</f>
        <v>35560</v>
      </c>
      <c r="P12" s="50">
        <f t="shared" si="3"/>
        <v>4853</v>
      </c>
      <c r="Q12" s="2032">
        <f>P12/O12</f>
        <v>0.13647356580427447</v>
      </c>
      <c r="R12" s="50">
        <f t="shared" si="3"/>
        <v>0</v>
      </c>
      <c r="S12" s="50">
        <f t="shared" si="3"/>
        <v>0</v>
      </c>
      <c r="T12" s="50">
        <f t="shared" si="3"/>
        <v>0</v>
      </c>
      <c r="U12" s="50">
        <f t="shared" si="3"/>
        <v>0</v>
      </c>
      <c r="V12" s="50">
        <f t="shared" si="3"/>
        <v>0</v>
      </c>
      <c r="W12" s="50">
        <f t="shared" si="3"/>
        <v>0</v>
      </c>
      <c r="X12" s="50">
        <f t="shared" si="3"/>
        <v>0</v>
      </c>
      <c r="Y12" s="50">
        <f t="shared" si="3"/>
        <v>0</v>
      </c>
      <c r="Z12" s="50">
        <f t="shared" si="3"/>
        <v>39059.84120126862</v>
      </c>
      <c r="AA12" s="50">
        <f t="shared" si="3"/>
        <v>39060</v>
      </c>
      <c r="AB12" s="50">
        <f t="shared" si="3"/>
        <v>6708</v>
      </c>
      <c r="AC12" s="2032">
        <f t="shared" si="1"/>
        <v>0.1717357910906298</v>
      </c>
    </row>
    <row r="13" spans="1:29" ht="12.75">
      <c r="A13" s="1992" t="s">
        <v>1541</v>
      </c>
      <c r="B13" s="39"/>
      <c r="C13" s="39"/>
      <c r="D13" s="39"/>
      <c r="E13" s="2032"/>
      <c r="F13" s="39"/>
      <c r="G13" s="39"/>
      <c r="H13" s="39"/>
      <c r="I13" s="2032"/>
      <c r="J13" s="39"/>
      <c r="K13" s="39"/>
      <c r="L13" s="39"/>
      <c r="M13" s="39"/>
      <c r="N13" s="17">
        <f>'841126-116-Önk. igazgatás'!E222</f>
        <v>31744</v>
      </c>
      <c r="O13" s="17">
        <v>31744</v>
      </c>
      <c r="P13" s="17">
        <v>43049</v>
      </c>
      <c r="Q13" s="2032">
        <f>P13/O13</f>
        <v>1.3561302923387097</v>
      </c>
      <c r="R13" s="39"/>
      <c r="S13" s="39"/>
      <c r="T13" s="39"/>
      <c r="U13" s="39"/>
      <c r="V13" s="39"/>
      <c r="W13" s="39"/>
      <c r="X13" s="39"/>
      <c r="Y13" s="39"/>
      <c r="Z13" s="39">
        <f aca="true" t="shared" si="4" ref="Z13:Z45">+B13+F13+J13+N13+R13+V13</f>
        <v>31744</v>
      </c>
      <c r="AA13" s="39">
        <f aca="true" t="shared" si="5" ref="AA13:AB28">+C13+G13+K13+O13+S13+W13</f>
        <v>31744</v>
      </c>
      <c r="AB13" s="39">
        <f t="shared" si="5"/>
        <v>43049</v>
      </c>
      <c r="AC13" s="2032">
        <f t="shared" si="1"/>
        <v>1.3561302923387097</v>
      </c>
    </row>
    <row r="14" spans="1:29" ht="12.75">
      <c r="A14" s="43" t="s">
        <v>1308</v>
      </c>
      <c r="B14" s="39"/>
      <c r="C14" s="39"/>
      <c r="D14" s="39"/>
      <c r="E14" s="2032"/>
      <c r="F14" s="39"/>
      <c r="G14" s="39"/>
      <c r="H14" s="39"/>
      <c r="I14" s="2032"/>
      <c r="J14" s="39"/>
      <c r="K14" s="39"/>
      <c r="L14" s="39"/>
      <c r="M14" s="39"/>
      <c r="N14" s="39">
        <f>'841126-116-Önk. igazgatás'!E227</f>
        <v>0</v>
      </c>
      <c r="O14" s="39">
        <v>0</v>
      </c>
      <c r="P14" s="39"/>
      <c r="Q14" s="2032"/>
      <c r="R14" s="39"/>
      <c r="S14" s="39"/>
      <c r="T14" s="39"/>
      <c r="U14" s="39"/>
      <c r="V14" s="39"/>
      <c r="W14" s="39"/>
      <c r="X14" s="39"/>
      <c r="Y14" s="39"/>
      <c r="Z14" s="39">
        <f t="shared" si="4"/>
        <v>0</v>
      </c>
      <c r="AA14" s="39">
        <f t="shared" si="5"/>
        <v>0</v>
      </c>
      <c r="AB14" s="39">
        <f t="shared" si="5"/>
        <v>0</v>
      </c>
      <c r="AC14" s="2032">
        <v>0</v>
      </c>
    </row>
    <row r="15" spans="1:29" ht="12.75">
      <c r="A15" s="1992" t="s">
        <v>254</v>
      </c>
      <c r="B15" s="39"/>
      <c r="C15" s="39"/>
      <c r="D15" s="39">
        <v>1182</v>
      </c>
      <c r="E15" s="2032"/>
      <c r="F15" s="39"/>
      <c r="G15" s="39"/>
      <c r="H15" s="39"/>
      <c r="I15" s="2032"/>
      <c r="J15" s="39"/>
      <c r="K15" s="39"/>
      <c r="L15" s="39"/>
      <c r="M15" s="39"/>
      <c r="N15" s="39"/>
      <c r="O15" s="39"/>
      <c r="P15" s="39"/>
      <c r="Q15" s="2032"/>
      <c r="R15" s="39"/>
      <c r="S15" s="39"/>
      <c r="T15" s="39"/>
      <c r="U15" s="39"/>
      <c r="V15" s="39"/>
      <c r="W15" s="39"/>
      <c r="X15" s="39"/>
      <c r="Y15" s="39"/>
      <c r="Z15" s="39">
        <f t="shared" si="4"/>
        <v>0</v>
      </c>
      <c r="AA15" s="39">
        <f t="shared" si="5"/>
        <v>0</v>
      </c>
      <c r="AB15" s="39">
        <f t="shared" si="5"/>
        <v>1182</v>
      </c>
      <c r="AC15" s="2032">
        <v>0</v>
      </c>
    </row>
    <row r="16" spans="1:29" ht="12.75">
      <c r="A16" s="1992" t="s">
        <v>255</v>
      </c>
      <c r="B16" s="39"/>
      <c r="C16" s="39"/>
      <c r="D16" s="39">
        <v>46</v>
      </c>
      <c r="E16" s="2032"/>
      <c r="F16" s="39"/>
      <c r="G16" s="39"/>
      <c r="H16" s="39"/>
      <c r="I16" s="2032"/>
      <c r="J16" s="39"/>
      <c r="K16" s="39"/>
      <c r="L16" s="39"/>
      <c r="M16" s="39"/>
      <c r="N16" s="39"/>
      <c r="O16" s="39"/>
      <c r="P16" s="39"/>
      <c r="Q16" s="2032"/>
      <c r="R16" s="39"/>
      <c r="S16" s="39"/>
      <c r="T16" s="39"/>
      <c r="U16" s="39"/>
      <c r="V16" s="39"/>
      <c r="W16" s="39"/>
      <c r="X16" s="39"/>
      <c r="Y16" s="39"/>
      <c r="Z16" s="39">
        <f t="shared" si="4"/>
        <v>0</v>
      </c>
      <c r="AA16" s="39">
        <f t="shared" si="5"/>
        <v>0</v>
      </c>
      <c r="AB16" s="39">
        <f t="shared" si="5"/>
        <v>46</v>
      </c>
      <c r="AC16" s="2032">
        <v>0</v>
      </c>
    </row>
    <row r="17" spans="1:29" ht="12.75">
      <c r="A17" s="1992" t="s">
        <v>256</v>
      </c>
      <c r="B17" s="39"/>
      <c r="C17" s="39"/>
      <c r="D17" s="39">
        <v>1386</v>
      </c>
      <c r="E17" s="2032"/>
      <c r="F17" s="39"/>
      <c r="G17" s="39"/>
      <c r="H17" s="39"/>
      <c r="I17" s="2032"/>
      <c r="J17" s="39"/>
      <c r="K17" s="39"/>
      <c r="L17" s="39"/>
      <c r="M17" s="39"/>
      <c r="N17" s="39"/>
      <c r="O17" s="39"/>
      <c r="P17" s="39"/>
      <c r="Q17" s="2032"/>
      <c r="R17" s="39"/>
      <c r="S17" s="39"/>
      <c r="T17" s="39"/>
      <c r="U17" s="39"/>
      <c r="V17" s="39"/>
      <c r="W17" s="39"/>
      <c r="X17" s="39"/>
      <c r="Y17" s="39"/>
      <c r="Z17" s="39">
        <f t="shared" si="4"/>
        <v>0</v>
      </c>
      <c r="AA17" s="39">
        <f t="shared" si="5"/>
        <v>0</v>
      </c>
      <c r="AB17" s="39">
        <f t="shared" si="5"/>
        <v>1386</v>
      </c>
      <c r="AC17" s="2032">
        <v>0</v>
      </c>
    </row>
    <row r="18" spans="1:29" ht="12.75">
      <c r="A18" s="1992" t="s">
        <v>257</v>
      </c>
      <c r="B18" s="39"/>
      <c r="C18" s="39"/>
      <c r="D18" s="39">
        <v>305</v>
      </c>
      <c r="E18" s="2032"/>
      <c r="F18" s="39"/>
      <c r="G18" s="39"/>
      <c r="H18" s="39"/>
      <c r="I18" s="2032"/>
      <c r="J18" s="39"/>
      <c r="K18" s="39"/>
      <c r="L18" s="39"/>
      <c r="M18" s="39"/>
      <c r="N18" s="39"/>
      <c r="O18" s="39"/>
      <c r="P18" s="39"/>
      <c r="Q18" s="2032"/>
      <c r="R18" s="39"/>
      <c r="S18" s="39"/>
      <c r="T18" s="39"/>
      <c r="U18" s="39"/>
      <c r="V18" s="39"/>
      <c r="W18" s="39"/>
      <c r="X18" s="39"/>
      <c r="Y18" s="39"/>
      <c r="Z18" s="39">
        <f t="shared" si="4"/>
        <v>0</v>
      </c>
      <c r="AA18" s="39">
        <f t="shared" si="5"/>
        <v>0</v>
      </c>
      <c r="AB18" s="39">
        <f t="shared" si="5"/>
        <v>305</v>
      </c>
      <c r="AC18" s="2032">
        <v>0</v>
      </c>
    </row>
    <row r="19" spans="1:29" ht="12.75">
      <c r="A19" s="1992" t="s">
        <v>258</v>
      </c>
      <c r="B19" s="39"/>
      <c r="C19" s="39"/>
      <c r="D19" s="39">
        <v>6566</v>
      </c>
      <c r="E19" s="2032"/>
      <c r="F19" s="39"/>
      <c r="G19" s="39"/>
      <c r="H19" s="39"/>
      <c r="I19" s="2032"/>
      <c r="J19" s="39"/>
      <c r="K19" s="39"/>
      <c r="L19" s="39"/>
      <c r="M19" s="39"/>
      <c r="N19" s="39"/>
      <c r="O19" s="39"/>
      <c r="P19" s="39"/>
      <c r="Q19" s="2032"/>
      <c r="R19" s="39"/>
      <c r="S19" s="39"/>
      <c r="T19" s="39"/>
      <c r="U19" s="39"/>
      <c r="V19" s="39"/>
      <c r="W19" s="39"/>
      <c r="X19" s="39"/>
      <c r="Y19" s="39"/>
      <c r="Z19" s="39">
        <f t="shared" si="4"/>
        <v>0</v>
      </c>
      <c r="AA19" s="39">
        <f t="shared" si="5"/>
        <v>0</v>
      </c>
      <c r="AB19" s="39">
        <f t="shared" si="5"/>
        <v>6566</v>
      </c>
      <c r="AC19" s="2032">
        <v>0</v>
      </c>
    </row>
    <row r="20" spans="1:29" ht="12.75">
      <c r="A20" s="1992" t="s">
        <v>259</v>
      </c>
      <c r="B20" s="39"/>
      <c r="C20" s="39"/>
      <c r="D20" s="39">
        <v>4142</v>
      </c>
      <c r="E20" s="2032"/>
      <c r="F20" s="39"/>
      <c r="G20" s="39"/>
      <c r="H20" s="39"/>
      <c r="I20" s="2032"/>
      <c r="J20" s="39"/>
      <c r="K20" s="39"/>
      <c r="L20" s="39"/>
      <c r="M20" s="39"/>
      <c r="N20" s="39"/>
      <c r="O20" s="39"/>
      <c r="P20" s="39"/>
      <c r="Q20" s="2032"/>
      <c r="R20" s="39"/>
      <c r="S20" s="39"/>
      <c r="T20" s="39"/>
      <c r="U20" s="39"/>
      <c r="V20" s="39"/>
      <c r="W20" s="39"/>
      <c r="X20" s="39"/>
      <c r="Y20" s="39"/>
      <c r="Z20" s="39">
        <f t="shared" si="4"/>
        <v>0</v>
      </c>
      <c r="AA20" s="39">
        <f t="shared" si="5"/>
        <v>0</v>
      </c>
      <c r="AB20" s="39">
        <f t="shared" si="5"/>
        <v>4142</v>
      </c>
      <c r="AC20" s="2032">
        <v>0</v>
      </c>
    </row>
    <row r="21" spans="1:29" ht="12.75">
      <c r="A21" s="5" t="s">
        <v>1542</v>
      </c>
      <c r="B21" s="39"/>
      <c r="C21" s="39"/>
      <c r="D21" s="39"/>
      <c r="E21" s="2032"/>
      <c r="F21" s="39"/>
      <c r="G21" s="39"/>
      <c r="H21" s="39"/>
      <c r="I21" s="2032"/>
      <c r="J21" s="39"/>
      <c r="K21" s="39"/>
      <c r="L21" s="39"/>
      <c r="M21" s="39"/>
      <c r="N21" s="39">
        <f>'841126-116-Önk. igazgatás'!E223</f>
        <v>880</v>
      </c>
      <c r="O21" s="39">
        <v>880</v>
      </c>
      <c r="P21" s="39">
        <v>371</v>
      </c>
      <c r="Q21" s="2032">
        <f>P21/O21</f>
        <v>0.42159090909090907</v>
      </c>
      <c r="R21" s="39"/>
      <c r="S21" s="39"/>
      <c r="T21" s="39"/>
      <c r="U21" s="39"/>
      <c r="V21" s="6"/>
      <c r="W21" s="6"/>
      <c r="X21" s="6"/>
      <c r="Y21" s="6"/>
      <c r="Z21" s="39">
        <f t="shared" si="4"/>
        <v>880</v>
      </c>
      <c r="AA21" s="39">
        <f t="shared" si="5"/>
        <v>880</v>
      </c>
      <c r="AB21" s="39">
        <f t="shared" si="5"/>
        <v>371</v>
      </c>
      <c r="AC21" s="2032">
        <f t="shared" si="1"/>
        <v>0.42159090909090907</v>
      </c>
    </row>
    <row r="22" spans="1:29" ht="12.75">
      <c r="A22" s="13" t="s">
        <v>1982</v>
      </c>
      <c r="B22" s="39"/>
      <c r="C22" s="39"/>
      <c r="D22" s="39"/>
      <c r="E22" s="2032"/>
      <c r="F22" s="39"/>
      <c r="G22" s="39"/>
      <c r="H22" s="39"/>
      <c r="I22" s="2032"/>
      <c r="J22" s="39"/>
      <c r="K22" s="39"/>
      <c r="L22" s="39"/>
      <c r="M22" s="39"/>
      <c r="N22" s="39">
        <f>'841126-116-Önk. igazgatás'!E224</f>
        <v>96348</v>
      </c>
      <c r="O22" s="39">
        <v>96348</v>
      </c>
      <c r="P22" s="39">
        <f>88449+9310</f>
        <v>97759</v>
      </c>
      <c r="Q22" s="2032">
        <f>P22/O22</f>
        <v>1.0146448291609582</v>
      </c>
      <c r="R22" s="39"/>
      <c r="S22" s="39"/>
      <c r="T22" s="39"/>
      <c r="U22" s="39"/>
      <c r="V22" s="6"/>
      <c r="W22" s="6"/>
      <c r="X22" s="6"/>
      <c r="Y22" s="6"/>
      <c r="Z22" s="39">
        <f t="shared" si="4"/>
        <v>96348</v>
      </c>
      <c r="AA22" s="39">
        <f t="shared" si="5"/>
        <v>96348</v>
      </c>
      <c r="AB22" s="39">
        <f t="shared" si="5"/>
        <v>97759</v>
      </c>
      <c r="AC22" s="2032">
        <f t="shared" si="1"/>
        <v>1.0146448291609582</v>
      </c>
    </row>
    <row r="23" spans="1:29" ht="12.75">
      <c r="A23" s="5" t="s">
        <v>224</v>
      </c>
      <c r="B23" s="7"/>
      <c r="C23" s="39"/>
      <c r="D23" s="39"/>
      <c r="E23" s="2032"/>
      <c r="F23" s="6">
        <f>'841901-Önk saját bevételei'!E17</f>
        <v>0</v>
      </c>
      <c r="G23" s="6">
        <v>0</v>
      </c>
      <c r="H23" s="6">
        <v>157</v>
      </c>
      <c r="I23" s="2032">
        <v>0</v>
      </c>
      <c r="J23" s="6"/>
      <c r="K23" s="6"/>
      <c r="L23" s="6"/>
      <c r="M23" s="6"/>
      <c r="N23" s="5"/>
      <c r="O23" s="6"/>
      <c r="P23" s="39"/>
      <c r="Q23" s="2032"/>
      <c r="R23" s="6"/>
      <c r="S23" s="6"/>
      <c r="T23" s="6"/>
      <c r="U23" s="6"/>
      <c r="V23" s="6"/>
      <c r="W23" s="6"/>
      <c r="X23" s="6"/>
      <c r="Y23" s="6"/>
      <c r="Z23" s="39">
        <f t="shared" si="4"/>
        <v>0</v>
      </c>
      <c r="AA23" s="6">
        <f t="shared" si="5"/>
        <v>0</v>
      </c>
      <c r="AB23" s="39">
        <f t="shared" si="5"/>
        <v>157</v>
      </c>
      <c r="AC23" s="2032">
        <v>0</v>
      </c>
    </row>
    <row r="24" spans="1:29" s="453" customFormat="1" ht="12.75">
      <c r="A24" s="43" t="s">
        <v>1543</v>
      </c>
      <c r="B24" s="17"/>
      <c r="C24" s="17"/>
      <c r="D24" s="2030"/>
      <c r="E24" s="2032"/>
      <c r="F24" s="18"/>
      <c r="G24" s="17"/>
      <c r="H24" s="17"/>
      <c r="I24" s="2032"/>
      <c r="J24" s="17"/>
      <c r="K24" s="17"/>
      <c r="L24" s="17"/>
      <c r="M24" s="17"/>
      <c r="N24" s="43"/>
      <c r="O24" s="17"/>
      <c r="P24" s="17"/>
      <c r="Q24" s="2032"/>
      <c r="R24" s="17"/>
      <c r="S24" s="17"/>
      <c r="T24" s="17"/>
      <c r="U24" s="17"/>
      <c r="V24" s="17">
        <f>2m!B62</f>
        <v>239802.93529873138</v>
      </c>
      <c r="W24" s="17">
        <v>89152</v>
      </c>
      <c r="X24" s="17">
        <f>340000+549168</f>
        <v>889168</v>
      </c>
      <c r="Y24" s="2033">
        <f>X24/W24</f>
        <v>9.97361809045226</v>
      </c>
      <c r="Z24" s="39">
        <f t="shared" si="4"/>
        <v>239802.93529873138</v>
      </c>
      <c r="AA24" s="6">
        <f t="shared" si="5"/>
        <v>89152</v>
      </c>
      <c r="AB24" s="39">
        <f t="shared" si="5"/>
        <v>889168</v>
      </c>
      <c r="AC24" s="2032">
        <f t="shared" si="1"/>
        <v>9.97361809045226</v>
      </c>
    </row>
    <row r="25" spans="1:29" s="12" customFormat="1" ht="12.75" hidden="1">
      <c r="A25" s="13" t="s">
        <v>1743</v>
      </c>
      <c r="B25" s="17"/>
      <c r="C25" s="17"/>
      <c r="D25" s="17"/>
      <c r="E25" s="2032"/>
      <c r="F25" s="14"/>
      <c r="G25" s="14"/>
      <c r="H25" s="14"/>
      <c r="I25" s="2032"/>
      <c r="J25" s="14">
        <f>2m!B45</f>
        <v>0</v>
      </c>
      <c r="K25" s="14"/>
      <c r="L25" s="14"/>
      <c r="M25" s="14"/>
      <c r="N25" s="13"/>
      <c r="O25" s="14"/>
      <c r="P25" s="17"/>
      <c r="Q25" s="2032" t="e">
        <f>P25/O25</f>
        <v>#DIV/0!</v>
      </c>
      <c r="R25" s="14"/>
      <c r="S25" s="14"/>
      <c r="T25" s="14"/>
      <c r="U25" s="14"/>
      <c r="V25" s="14">
        <f>'841126-Finanszírozási műveletek'!D24</f>
        <v>0</v>
      </c>
      <c r="W25" s="14"/>
      <c r="X25" s="14"/>
      <c r="Y25" s="2033" t="e">
        <f>X25/W25</f>
        <v>#DIV/0!</v>
      </c>
      <c r="Z25" s="39">
        <f t="shared" si="4"/>
        <v>0</v>
      </c>
      <c r="AA25" s="14"/>
      <c r="AB25" s="39">
        <f t="shared" si="5"/>
        <v>0</v>
      </c>
      <c r="AC25" s="2032" t="e">
        <f t="shared" si="1"/>
        <v>#DIV/0!</v>
      </c>
    </row>
    <row r="26" spans="1:29" s="24" customFormat="1" ht="12.75">
      <c r="A26" s="43" t="s">
        <v>1822</v>
      </c>
      <c r="B26" s="17"/>
      <c r="C26" s="40"/>
      <c r="D26" s="40"/>
      <c r="E26" s="2032"/>
      <c r="F26" s="64"/>
      <c r="G26" s="64"/>
      <c r="H26" s="64"/>
      <c r="I26" s="2032"/>
      <c r="J26" s="64"/>
      <c r="K26" s="64"/>
      <c r="L26" s="64"/>
      <c r="M26" s="64"/>
      <c r="N26" s="40">
        <f>'841126-116-Önk. igazgatás'!E216</f>
        <v>1613</v>
      </c>
      <c r="O26" s="64">
        <v>1613</v>
      </c>
      <c r="P26" s="40"/>
      <c r="Q26" s="2032">
        <f>P26/O26</f>
        <v>0</v>
      </c>
      <c r="R26" s="64"/>
      <c r="S26" s="64"/>
      <c r="T26" s="64"/>
      <c r="U26" s="64"/>
      <c r="V26" s="64"/>
      <c r="W26" s="64"/>
      <c r="X26" s="64"/>
      <c r="Y26" s="2033"/>
      <c r="Z26" s="39">
        <f t="shared" si="4"/>
        <v>1613</v>
      </c>
      <c r="AA26" s="6">
        <f>+C26+G26+K26+O26+S26+W26</f>
        <v>1613</v>
      </c>
      <c r="AB26" s="39">
        <f t="shared" si="5"/>
        <v>0</v>
      </c>
      <c r="AC26" s="2032">
        <f t="shared" si="1"/>
        <v>0</v>
      </c>
    </row>
    <row r="27" spans="1:29" s="24" customFormat="1" ht="12.75">
      <c r="A27" s="5" t="s">
        <v>1420</v>
      </c>
      <c r="B27" s="39"/>
      <c r="C27" s="39"/>
      <c r="D27" s="39"/>
      <c r="E27" s="2032"/>
      <c r="F27" s="39"/>
      <c r="G27" s="39"/>
      <c r="H27" s="39"/>
      <c r="I27" s="2032"/>
      <c r="J27" s="39"/>
      <c r="K27" s="39"/>
      <c r="L27" s="39"/>
      <c r="M27" s="39"/>
      <c r="N27" s="17">
        <f>'841126-116-Önk. igazgatás'!E213</f>
        <v>32602</v>
      </c>
      <c r="O27" s="17">
        <v>32602</v>
      </c>
      <c r="P27" s="17">
        <v>32405</v>
      </c>
      <c r="Q27" s="2032">
        <f>P27/O27</f>
        <v>0.9939574259247899</v>
      </c>
      <c r="R27" s="39"/>
      <c r="S27" s="39"/>
      <c r="T27" s="39"/>
      <c r="U27" s="39"/>
      <c r="V27" s="6"/>
      <c r="W27" s="6"/>
      <c r="X27" s="6"/>
      <c r="Y27" s="2033"/>
      <c r="Z27" s="6">
        <f t="shared" si="4"/>
        <v>32602</v>
      </c>
      <c r="AA27" s="6">
        <f aca="true" t="shared" si="6" ref="AA27:AB55">+C27+G27+K27+O27+S27+W27</f>
        <v>32602</v>
      </c>
      <c r="AB27" s="39">
        <f t="shared" si="5"/>
        <v>32405</v>
      </c>
      <c r="AC27" s="2032">
        <f t="shared" si="1"/>
        <v>0.9939574259247899</v>
      </c>
    </row>
    <row r="28" spans="1:29" s="24" customFormat="1" ht="12.75">
      <c r="A28" s="1992" t="s">
        <v>1421</v>
      </c>
      <c r="B28" s="39"/>
      <c r="C28" s="39"/>
      <c r="D28" s="39"/>
      <c r="E28" s="2032"/>
      <c r="F28" s="39"/>
      <c r="G28" s="39"/>
      <c r="H28" s="39"/>
      <c r="I28" s="2032"/>
      <c r="J28" s="39"/>
      <c r="K28" s="39"/>
      <c r="L28" s="39"/>
      <c r="M28" s="39"/>
      <c r="N28" s="17">
        <v>0</v>
      </c>
      <c r="O28" s="17">
        <v>0</v>
      </c>
      <c r="P28" s="17">
        <v>16309</v>
      </c>
      <c r="Q28" s="2032">
        <v>0</v>
      </c>
      <c r="R28" s="39"/>
      <c r="S28" s="39"/>
      <c r="T28" s="39"/>
      <c r="U28" s="39"/>
      <c r="V28" s="6"/>
      <c r="W28" s="6"/>
      <c r="X28" s="6"/>
      <c r="Y28" s="2033"/>
      <c r="Z28" s="6">
        <f t="shared" si="4"/>
        <v>0</v>
      </c>
      <c r="AA28" s="6">
        <f t="shared" si="6"/>
        <v>0</v>
      </c>
      <c r="AB28" s="39">
        <f t="shared" si="5"/>
        <v>16309</v>
      </c>
      <c r="AC28" s="2032">
        <v>0</v>
      </c>
    </row>
    <row r="29" spans="1:29" s="24" customFormat="1" ht="12.75">
      <c r="A29" s="5" t="s">
        <v>1364</v>
      </c>
      <c r="B29" s="39"/>
      <c r="C29" s="39"/>
      <c r="D29" s="39"/>
      <c r="E29" s="2032"/>
      <c r="F29" s="39"/>
      <c r="G29" s="39"/>
      <c r="H29" s="39"/>
      <c r="I29" s="2032"/>
      <c r="J29" s="39"/>
      <c r="K29" s="39"/>
      <c r="L29" s="39"/>
      <c r="M29" s="39"/>
      <c r="N29" s="17">
        <v>0</v>
      </c>
      <c r="O29" s="17">
        <v>0</v>
      </c>
      <c r="P29" s="17">
        <v>2361</v>
      </c>
      <c r="Q29" s="2032">
        <v>0</v>
      </c>
      <c r="R29" s="39"/>
      <c r="S29" s="39"/>
      <c r="T29" s="39"/>
      <c r="U29" s="39"/>
      <c r="V29" s="6"/>
      <c r="W29" s="6"/>
      <c r="X29" s="6"/>
      <c r="Y29" s="2033"/>
      <c r="Z29" s="6">
        <f t="shared" si="4"/>
        <v>0</v>
      </c>
      <c r="AA29" s="6">
        <f t="shared" si="6"/>
        <v>0</v>
      </c>
      <c r="AB29" s="39">
        <f>+D29+H29+L29+P29+T29+X29</f>
        <v>2361</v>
      </c>
      <c r="AC29" s="2032">
        <v>0</v>
      </c>
    </row>
    <row r="30" spans="1:29" ht="12.75">
      <c r="A30" s="5" t="s">
        <v>1544</v>
      </c>
      <c r="B30" s="5"/>
      <c r="C30" s="39"/>
      <c r="D30" s="39"/>
      <c r="E30" s="2032"/>
      <c r="F30" s="6">
        <f>'841901-Önk saját bevételei'!E9+'841901-Önk saját bevételei'!E10+'841901-Önk saját bevételei'!E11</f>
        <v>93400</v>
      </c>
      <c r="G30" s="6">
        <v>93400</v>
      </c>
      <c r="H30" s="6">
        <f>122893+885</f>
        <v>123778</v>
      </c>
      <c r="I30" s="2032">
        <f>H30/G30</f>
        <v>1.3252462526766595</v>
      </c>
      <c r="J30" s="6"/>
      <c r="K30" s="6"/>
      <c r="L30" s="6"/>
      <c r="M30" s="6"/>
      <c r="N30" s="5"/>
      <c r="O30" s="6"/>
      <c r="P30" s="39"/>
      <c r="Q30" s="2032"/>
      <c r="R30" s="6"/>
      <c r="S30" s="6"/>
      <c r="T30" s="6"/>
      <c r="U30" s="6"/>
      <c r="V30" s="6"/>
      <c r="W30" s="6"/>
      <c r="X30" s="6"/>
      <c r="Y30" s="2033"/>
      <c r="Z30" s="6">
        <f t="shared" si="4"/>
        <v>93400</v>
      </c>
      <c r="AA30" s="6">
        <f t="shared" si="6"/>
        <v>93400</v>
      </c>
      <c r="AB30" s="39">
        <f>+D30+H30+L30+P30+T30+X30</f>
        <v>123778</v>
      </c>
      <c r="AC30" s="2032">
        <f t="shared" si="1"/>
        <v>1.3252462526766595</v>
      </c>
    </row>
    <row r="31" spans="1:29" ht="12.75">
      <c r="A31" s="5" t="s">
        <v>1545</v>
      </c>
      <c r="B31" s="5"/>
      <c r="C31" s="39"/>
      <c r="D31" s="39"/>
      <c r="E31" s="2032"/>
      <c r="F31" s="6">
        <f>'841901-Önk saját bevételei'!E13+'841901-Önk saját bevételei'!E14</f>
        <v>168654</v>
      </c>
      <c r="G31" s="6">
        <v>168654</v>
      </c>
      <c r="H31" s="6">
        <v>168654</v>
      </c>
      <c r="I31" s="2032">
        <f>H31/G31</f>
        <v>1</v>
      </c>
      <c r="J31" s="6"/>
      <c r="K31" s="6"/>
      <c r="L31" s="6"/>
      <c r="M31" s="6"/>
      <c r="N31" s="5"/>
      <c r="O31" s="6"/>
      <c r="P31" s="39"/>
      <c r="Q31" s="2032"/>
      <c r="R31" s="6"/>
      <c r="S31" s="6"/>
      <c r="T31" s="6"/>
      <c r="U31" s="6"/>
      <c r="V31" s="6"/>
      <c r="W31" s="6"/>
      <c r="X31" s="6"/>
      <c r="Y31" s="2033"/>
      <c r="Z31" s="6">
        <f t="shared" si="4"/>
        <v>168654</v>
      </c>
      <c r="AA31" s="6">
        <f t="shared" si="6"/>
        <v>168654</v>
      </c>
      <c r="AB31" s="6">
        <f t="shared" si="6"/>
        <v>168654</v>
      </c>
      <c r="AC31" s="2032">
        <f t="shared" si="1"/>
        <v>1</v>
      </c>
    </row>
    <row r="32" spans="1:29" ht="12.75">
      <c r="A32" s="5" t="s">
        <v>225</v>
      </c>
      <c r="B32" s="5"/>
      <c r="C32" s="39"/>
      <c r="D32" s="39"/>
      <c r="E32" s="2032"/>
      <c r="F32" s="6">
        <f>'841901-Önk saját bevételei'!E15</f>
        <v>32000</v>
      </c>
      <c r="G32" s="6">
        <v>32000</v>
      </c>
      <c r="H32" s="6">
        <v>33953</v>
      </c>
      <c r="I32" s="2032">
        <f>H32/G32</f>
        <v>1.06103125</v>
      </c>
      <c r="J32" s="6"/>
      <c r="K32" s="6"/>
      <c r="L32" s="6"/>
      <c r="M32" s="6"/>
      <c r="N32" s="5"/>
      <c r="O32" s="6"/>
      <c r="P32" s="39"/>
      <c r="Q32" s="2032"/>
      <c r="R32" s="6"/>
      <c r="S32" s="6"/>
      <c r="T32" s="6"/>
      <c r="U32" s="6"/>
      <c r="V32" s="6"/>
      <c r="W32" s="6"/>
      <c r="X32" s="6"/>
      <c r="Y32" s="2033"/>
      <c r="Z32" s="6">
        <f t="shared" si="4"/>
        <v>32000</v>
      </c>
      <c r="AA32" s="6">
        <f t="shared" si="6"/>
        <v>32000</v>
      </c>
      <c r="AB32" s="6">
        <f t="shared" si="6"/>
        <v>33953</v>
      </c>
      <c r="AC32" s="2032">
        <f t="shared" si="1"/>
        <v>1.06103125</v>
      </c>
    </row>
    <row r="33" spans="1:29" ht="12.75">
      <c r="A33" s="5" t="s">
        <v>1534</v>
      </c>
      <c r="B33" s="5"/>
      <c r="C33" s="39"/>
      <c r="D33" s="39"/>
      <c r="E33" s="2032"/>
      <c r="F33" s="6">
        <f>'841901-Önk saját bevételei'!E21</f>
        <v>1500</v>
      </c>
      <c r="G33" s="6">
        <v>1500</v>
      </c>
      <c r="H33" s="6">
        <v>1584</v>
      </c>
      <c r="I33" s="2032">
        <f>H33/G33</f>
        <v>1.056</v>
      </c>
      <c r="J33" s="6"/>
      <c r="K33" s="6"/>
      <c r="L33" s="6"/>
      <c r="M33" s="6"/>
      <c r="N33" s="5"/>
      <c r="O33" s="6"/>
      <c r="P33" s="39"/>
      <c r="Q33" s="2032"/>
      <c r="R33" s="6"/>
      <c r="S33" s="6"/>
      <c r="T33" s="6"/>
      <c r="U33" s="6"/>
      <c r="V33" s="6"/>
      <c r="W33" s="6"/>
      <c r="X33" s="6"/>
      <c r="Y33" s="2033"/>
      <c r="Z33" s="6">
        <f t="shared" si="4"/>
        <v>1500</v>
      </c>
      <c r="AA33" s="6">
        <f t="shared" si="6"/>
        <v>1500</v>
      </c>
      <c r="AB33" s="6">
        <f t="shared" si="6"/>
        <v>1584</v>
      </c>
      <c r="AC33" s="2032">
        <f t="shared" si="1"/>
        <v>1.056</v>
      </c>
    </row>
    <row r="34" spans="1:29" ht="12.75">
      <c r="A34" s="43" t="s">
        <v>1365</v>
      </c>
      <c r="B34" s="5"/>
      <c r="C34" s="39"/>
      <c r="D34" s="39"/>
      <c r="E34" s="2032"/>
      <c r="F34" s="5"/>
      <c r="G34" s="6"/>
      <c r="H34" s="6"/>
      <c r="I34" s="2032"/>
      <c r="J34" s="6"/>
      <c r="K34" s="6"/>
      <c r="L34" s="6"/>
      <c r="M34" s="6"/>
      <c r="N34" s="6">
        <f>'841126-116-Önk. igazgatás'!E231</f>
        <v>1200</v>
      </c>
      <c r="O34" s="6">
        <v>1200</v>
      </c>
      <c r="P34" s="39">
        <v>215</v>
      </c>
      <c r="Q34" s="2032">
        <f>P34/O34</f>
        <v>0.17916666666666667</v>
      </c>
      <c r="R34" s="6"/>
      <c r="S34" s="6"/>
      <c r="T34" s="6"/>
      <c r="U34" s="6"/>
      <c r="V34" s="6"/>
      <c r="W34" s="6"/>
      <c r="X34" s="6"/>
      <c r="Y34" s="2033"/>
      <c r="Z34" s="6">
        <f t="shared" si="4"/>
        <v>1200</v>
      </c>
      <c r="AA34" s="6">
        <f t="shared" si="6"/>
        <v>1200</v>
      </c>
      <c r="AB34" s="6">
        <f t="shared" si="6"/>
        <v>215</v>
      </c>
      <c r="AC34" s="2032">
        <f t="shared" si="1"/>
        <v>0.17916666666666667</v>
      </c>
    </row>
    <row r="35" spans="1:29" ht="12.75">
      <c r="A35" s="5" t="s">
        <v>1546</v>
      </c>
      <c r="B35" s="6"/>
      <c r="C35" s="39"/>
      <c r="D35" s="39"/>
      <c r="E35" s="2032"/>
      <c r="F35" s="5"/>
      <c r="G35" s="6"/>
      <c r="H35" s="6"/>
      <c r="I35" s="2032"/>
      <c r="J35" s="6"/>
      <c r="K35" s="6"/>
      <c r="L35" s="6"/>
      <c r="M35" s="6"/>
      <c r="N35" s="6">
        <f>'841126-116-Önk. igazgatás'!E215</f>
        <v>33432</v>
      </c>
      <c r="O35" s="6">
        <v>33432</v>
      </c>
      <c r="P35" s="39">
        <v>0</v>
      </c>
      <c r="Q35" s="2032">
        <f>P35/O35</f>
        <v>0</v>
      </c>
      <c r="R35" s="6"/>
      <c r="S35" s="6"/>
      <c r="T35" s="6"/>
      <c r="U35" s="6"/>
      <c r="V35" s="6"/>
      <c r="W35" s="6"/>
      <c r="X35" s="6"/>
      <c r="Y35" s="2033"/>
      <c r="Z35" s="6">
        <f t="shared" si="4"/>
        <v>33432</v>
      </c>
      <c r="AA35" s="6">
        <f t="shared" si="6"/>
        <v>33432</v>
      </c>
      <c r="AB35" s="6">
        <f t="shared" si="6"/>
        <v>0</v>
      </c>
      <c r="AC35" s="2032">
        <f t="shared" si="1"/>
        <v>0</v>
      </c>
    </row>
    <row r="36" spans="1:29" ht="12.75">
      <c r="A36" s="5" t="s">
        <v>1547</v>
      </c>
      <c r="B36" s="6"/>
      <c r="C36" s="6"/>
      <c r="D36" s="6"/>
      <c r="E36" s="2032"/>
      <c r="F36" s="6">
        <f>'841901-Önk saját bevételei'!E23+'841901-Önk saját bevételei'!E24+'841901-Önk saját bevételei'!E25+'841901-Önk saját bevételei'!E26</f>
        <v>31425</v>
      </c>
      <c r="G36" s="6">
        <v>31425</v>
      </c>
      <c r="H36" s="6">
        <v>20469</v>
      </c>
      <c r="I36" s="2032">
        <f>H36/G36</f>
        <v>0.6513603818615752</v>
      </c>
      <c r="J36" s="6"/>
      <c r="K36" s="6"/>
      <c r="L36" s="6"/>
      <c r="M36" s="6"/>
      <c r="N36" s="5"/>
      <c r="O36" s="6"/>
      <c r="P36" s="39"/>
      <c r="Q36" s="2032"/>
      <c r="R36" s="6"/>
      <c r="S36" s="6"/>
      <c r="T36" s="6"/>
      <c r="U36" s="6"/>
      <c r="V36" s="6"/>
      <c r="W36" s="6"/>
      <c r="X36" s="6"/>
      <c r="Y36" s="2033"/>
      <c r="Z36" s="6">
        <f t="shared" si="4"/>
        <v>31425</v>
      </c>
      <c r="AA36" s="6">
        <f t="shared" si="6"/>
        <v>31425</v>
      </c>
      <c r="AB36" s="6">
        <f t="shared" si="6"/>
        <v>20469</v>
      </c>
      <c r="AC36" s="2032">
        <f t="shared" si="1"/>
        <v>0.6513603818615752</v>
      </c>
    </row>
    <row r="37" spans="1:29" ht="12.75">
      <c r="A37" s="5" t="s">
        <v>2211</v>
      </c>
      <c r="B37" s="6"/>
      <c r="C37" s="6"/>
      <c r="D37" s="6"/>
      <c r="E37" s="2032"/>
      <c r="F37" s="6"/>
      <c r="G37" s="6"/>
      <c r="H37" s="6">
        <v>721</v>
      </c>
      <c r="I37" s="2032"/>
      <c r="J37" s="6"/>
      <c r="K37" s="6"/>
      <c r="L37" s="6"/>
      <c r="M37" s="6"/>
      <c r="N37" s="5"/>
      <c r="O37" s="6"/>
      <c r="P37" s="39"/>
      <c r="Q37" s="2032"/>
      <c r="R37" s="6"/>
      <c r="S37" s="6"/>
      <c r="T37" s="6"/>
      <c r="U37" s="6"/>
      <c r="V37" s="6"/>
      <c r="W37" s="6"/>
      <c r="X37" s="6"/>
      <c r="Y37" s="2033"/>
      <c r="Z37" s="6">
        <f t="shared" si="4"/>
        <v>0</v>
      </c>
      <c r="AA37" s="6">
        <f t="shared" si="6"/>
        <v>0</v>
      </c>
      <c r="AB37" s="6">
        <f t="shared" si="6"/>
        <v>721</v>
      </c>
      <c r="AC37" s="2032">
        <v>0</v>
      </c>
    </row>
    <row r="38" spans="1:29" ht="12.75">
      <c r="A38" s="13" t="s">
        <v>1984</v>
      </c>
      <c r="B38" s="39"/>
      <c r="C38" s="39"/>
      <c r="D38" s="39"/>
      <c r="E38" s="2032"/>
      <c r="F38" s="6"/>
      <c r="G38" s="6"/>
      <c r="H38" s="6"/>
      <c r="I38" s="2032"/>
      <c r="J38" s="5"/>
      <c r="K38" s="6"/>
      <c r="L38" s="6"/>
      <c r="M38" s="6"/>
      <c r="N38" s="6"/>
      <c r="O38" s="6"/>
      <c r="P38" s="39"/>
      <c r="Q38" s="2032"/>
      <c r="R38" s="6">
        <f>+'841126-116-Önk. igazgatás'!D237</f>
        <v>0</v>
      </c>
      <c r="S38" s="6"/>
      <c r="T38" s="6"/>
      <c r="U38" s="6"/>
      <c r="V38" s="6"/>
      <c r="W38" s="6"/>
      <c r="X38" s="6"/>
      <c r="Y38" s="2033"/>
      <c r="Z38" s="6">
        <f t="shared" si="4"/>
        <v>0</v>
      </c>
      <c r="AA38" s="6">
        <f t="shared" si="6"/>
        <v>0</v>
      </c>
      <c r="AB38" s="6">
        <f t="shared" si="6"/>
        <v>0</v>
      </c>
      <c r="AC38" s="2032">
        <v>0</v>
      </c>
    </row>
    <row r="39" spans="1:29" ht="12.75">
      <c r="A39" s="5" t="s">
        <v>226</v>
      </c>
      <c r="B39" s="39"/>
      <c r="C39" s="39"/>
      <c r="D39" s="39"/>
      <c r="E39" s="2032"/>
      <c r="F39" s="6"/>
      <c r="G39" s="6"/>
      <c r="H39" s="6"/>
      <c r="I39" s="2032"/>
      <c r="J39" s="39">
        <f>'841901-Önk saját bevételei'!E34</f>
        <v>293943</v>
      </c>
      <c r="K39" s="6">
        <f>292345-2489</f>
        <v>289856</v>
      </c>
      <c r="L39" s="6">
        <v>289856</v>
      </c>
      <c r="M39" s="2034">
        <f aca="true" t="shared" si="7" ref="M39:M45">L39/K39</f>
        <v>1</v>
      </c>
      <c r="N39" s="6"/>
      <c r="O39" s="6"/>
      <c r="P39" s="39"/>
      <c r="Q39" s="2032"/>
      <c r="R39" s="6"/>
      <c r="S39" s="6"/>
      <c r="T39" s="6"/>
      <c r="U39" s="6"/>
      <c r="V39" s="6"/>
      <c r="W39" s="6"/>
      <c r="X39" s="6"/>
      <c r="Y39" s="2033"/>
      <c r="Z39" s="6">
        <f t="shared" si="4"/>
        <v>293943</v>
      </c>
      <c r="AA39" s="6">
        <f t="shared" si="6"/>
        <v>289856</v>
      </c>
      <c r="AB39" s="6">
        <f t="shared" si="6"/>
        <v>289856</v>
      </c>
      <c r="AC39" s="2032">
        <f t="shared" si="1"/>
        <v>1</v>
      </c>
    </row>
    <row r="40" spans="1:29" ht="12.75">
      <c r="A40" s="5" t="s">
        <v>227</v>
      </c>
      <c r="B40" s="39"/>
      <c r="C40" s="39"/>
      <c r="D40" s="39"/>
      <c r="E40" s="2032"/>
      <c r="F40" s="6"/>
      <c r="G40" s="6"/>
      <c r="H40" s="6"/>
      <c r="I40" s="2032"/>
      <c r="J40" s="39">
        <f>'841901-Önk saját bevételei'!E54</f>
        <v>199766</v>
      </c>
      <c r="K40" s="6">
        <f>197307+2489-57210</f>
        <v>142586</v>
      </c>
      <c r="L40" s="6">
        <v>142586</v>
      </c>
      <c r="M40" s="2034">
        <f t="shared" si="7"/>
        <v>1</v>
      </c>
      <c r="N40" s="6"/>
      <c r="O40" s="6"/>
      <c r="P40" s="39"/>
      <c r="Q40" s="2032"/>
      <c r="R40" s="6"/>
      <c r="S40" s="6"/>
      <c r="T40" s="6"/>
      <c r="U40" s="6"/>
      <c r="V40" s="6"/>
      <c r="W40" s="6"/>
      <c r="X40" s="6"/>
      <c r="Y40" s="2033"/>
      <c r="Z40" s="6">
        <f t="shared" si="4"/>
        <v>199766</v>
      </c>
      <c r="AA40" s="6">
        <f t="shared" si="6"/>
        <v>142586</v>
      </c>
      <c r="AB40" s="6">
        <f t="shared" si="6"/>
        <v>142586</v>
      </c>
      <c r="AC40" s="2032">
        <f t="shared" si="1"/>
        <v>1</v>
      </c>
    </row>
    <row r="41" spans="1:29" ht="12.75">
      <c r="A41" s="13" t="s">
        <v>1134</v>
      </c>
      <c r="B41" s="5"/>
      <c r="C41" s="5"/>
      <c r="D41" s="5"/>
      <c r="E41" s="2032"/>
      <c r="F41" s="5"/>
      <c r="G41" s="5"/>
      <c r="H41" s="5"/>
      <c r="I41" s="2032"/>
      <c r="J41" s="5">
        <v>0</v>
      </c>
      <c r="K41" s="6">
        <f>4305-239.8+5035.6+34.2+8670.5-473-0.01</f>
        <v>17332.49</v>
      </c>
      <c r="L41" s="6">
        <v>17332</v>
      </c>
      <c r="M41" s="2034">
        <f t="shared" si="7"/>
        <v>0.999971729393757</v>
      </c>
      <c r="N41" s="5"/>
      <c r="O41" s="5"/>
      <c r="P41" s="1992"/>
      <c r="Q41" s="2032"/>
      <c r="R41" s="5"/>
      <c r="S41" s="5"/>
      <c r="T41" s="5"/>
      <c r="U41" s="5"/>
      <c r="V41" s="5"/>
      <c r="W41" s="5"/>
      <c r="X41" s="5"/>
      <c r="Y41" s="2033"/>
      <c r="Z41" s="6">
        <f t="shared" si="4"/>
        <v>0</v>
      </c>
      <c r="AA41" s="6">
        <f t="shared" si="6"/>
        <v>17332.49</v>
      </c>
      <c r="AB41" s="6">
        <f t="shared" si="6"/>
        <v>17332</v>
      </c>
      <c r="AC41" s="2032">
        <f t="shared" si="1"/>
        <v>0.999971729393757</v>
      </c>
    </row>
    <row r="42" spans="1:29" ht="12.75">
      <c r="A42" s="13" t="s">
        <v>1743</v>
      </c>
      <c r="B42" s="5"/>
      <c r="C42" s="5"/>
      <c r="D42" s="5"/>
      <c r="E42" s="2032"/>
      <c r="F42" s="5"/>
      <c r="G42" s="5"/>
      <c r="H42" s="5"/>
      <c r="I42" s="2032"/>
      <c r="J42" s="5"/>
      <c r="K42" s="6">
        <v>54294</v>
      </c>
      <c r="L42" s="6">
        <v>54294</v>
      </c>
      <c r="M42" s="2034">
        <f t="shared" si="7"/>
        <v>1</v>
      </c>
      <c r="N42" s="5"/>
      <c r="O42" s="5"/>
      <c r="P42" s="1992"/>
      <c r="Q42" s="2032"/>
      <c r="R42" s="5"/>
      <c r="S42" s="5"/>
      <c r="T42" s="5"/>
      <c r="U42" s="5"/>
      <c r="V42" s="5"/>
      <c r="W42" s="5"/>
      <c r="X42" s="5"/>
      <c r="Y42" s="2033"/>
      <c r="Z42" s="6">
        <f t="shared" si="4"/>
        <v>0</v>
      </c>
      <c r="AA42" s="6">
        <f t="shared" si="6"/>
        <v>54294</v>
      </c>
      <c r="AB42" s="6">
        <f t="shared" si="6"/>
        <v>54294</v>
      </c>
      <c r="AC42" s="2032">
        <f t="shared" si="1"/>
        <v>1</v>
      </c>
    </row>
    <row r="43" spans="1:29" ht="12.75">
      <c r="A43" s="13" t="s">
        <v>1335</v>
      </c>
      <c r="B43" s="5"/>
      <c r="C43" s="5"/>
      <c r="D43" s="5"/>
      <c r="E43" s="2032"/>
      <c r="F43" s="5"/>
      <c r="G43" s="5"/>
      <c r="H43" s="5"/>
      <c r="I43" s="2032"/>
      <c r="J43" s="5"/>
      <c r="K43" s="6">
        <f>13177+12080.15</f>
        <v>25257.15</v>
      </c>
      <c r="L43" s="6">
        <v>25257</v>
      </c>
      <c r="M43" s="2034">
        <f t="shared" si="7"/>
        <v>0.9999940610876523</v>
      </c>
      <c r="N43" s="5"/>
      <c r="O43" s="5"/>
      <c r="P43" s="1992"/>
      <c r="Q43" s="2032"/>
      <c r="R43" s="5"/>
      <c r="S43" s="5"/>
      <c r="T43" s="5"/>
      <c r="U43" s="5"/>
      <c r="V43" s="5"/>
      <c r="W43" s="5"/>
      <c r="X43" s="5"/>
      <c r="Y43" s="2033"/>
      <c r="Z43" s="6">
        <f t="shared" si="4"/>
        <v>0</v>
      </c>
      <c r="AA43" s="6">
        <f t="shared" si="6"/>
        <v>25257.15</v>
      </c>
      <c r="AB43" s="6">
        <f t="shared" si="6"/>
        <v>25257</v>
      </c>
      <c r="AC43" s="2032">
        <f t="shared" si="1"/>
        <v>0.9999940610876523</v>
      </c>
    </row>
    <row r="44" spans="1:29" ht="12.75">
      <c r="A44" s="13" t="s">
        <v>1340</v>
      </c>
      <c r="B44" s="5"/>
      <c r="C44" s="5"/>
      <c r="D44" s="5"/>
      <c r="E44" s="2032"/>
      <c r="F44" s="5"/>
      <c r="G44" s="5"/>
      <c r="H44" s="5"/>
      <c r="I44" s="2032"/>
      <c r="J44" s="5">
        <v>0</v>
      </c>
      <c r="K44" s="6">
        <v>156000</v>
      </c>
      <c r="L44" s="6">
        <v>156000</v>
      </c>
      <c r="M44" s="2034">
        <f t="shared" si="7"/>
        <v>1</v>
      </c>
      <c r="N44" s="5"/>
      <c r="O44" s="5"/>
      <c r="P44" s="1992"/>
      <c r="Q44" s="2032"/>
      <c r="R44" s="5"/>
      <c r="S44" s="5"/>
      <c r="T44" s="5"/>
      <c r="U44" s="5"/>
      <c r="V44" s="5"/>
      <c r="W44" s="5"/>
      <c r="X44" s="5"/>
      <c r="Y44" s="2033"/>
      <c r="Z44" s="6">
        <f t="shared" si="4"/>
        <v>0</v>
      </c>
      <c r="AA44" s="6">
        <f t="shared" si="6"/>
        <v>156000</v>
      </c>
      <c r="AB44" s="6">
        <f t="shared" si="6"/>
        <v>156000</v>
      </c>
      <c r="AC44" s="2032">
        <f t="shared" si="1"/>
        <v>1</v>
      </c>
    </row>
    <row r="45" spans="1:29" ht="12.75">
      <c r="A45" s="13" t="s">
        <v>1351</v>
      </c>
      <c r="B45" s="5"/>
      <c r="C45" s="5"/>
      <c r="D45" s="5"/>
      <c r="E45" s="2032"/>
      <c r="F45" s="5"/>
      <c r="G45" s="5"/>
      <c r="H45" s="5"/>
      <c r="I45" s="2032"/>
      <c r="J45" s="5"/>
      <c r="K45" s="5">
        <v>2291</v>
      </c>
      <c r="L45" s="5">
        <v>2291</v>
      </c>
      <c r="M45" s="2034">
        <f t="shared" si="7"/>
        <v>1</v>
      </c>
      <c r="N45" s="5"/>
      <c r="O45" s="5"/>
      <c r="P45" s="1992"/>
      <c r="Q45" s="2032"/>
      <c r="R45" s="5"/>
      <c r="S45" s="5"/>
      <c r="T45" s="5"/>
      <c r="U45" s="5"/>
      <c r="V45" s="5"/>
      <c r="W45" s="5"/>
      <c r="X45" s="5"/>
      <c r="Y45" s="2033"/>
      <c r="Z45" s="6">
        <f t="shared" si="4"/>
        <v>0</v>
      </c>
      <c r="AA45" s="6">
        <f t="shared" si="6"/>
        <v>2291</v>
      </c>
      <c r="AB45" s="6">
        <f t="shared" si="6"/>
        <v>2291</v>
      </c>
      <c r="AC45" s="2032">
        <f t="shared" si="1"/>
        <v>1</v>
      </c>
    </row>
    <row r="46" spans="1:29" ht="12.75">
      <c r="A46" s="5" t="s">
        <v>228</v>
      </c>
      <c r="B46" s="39"/>
      <c r="C46" s="39"/>
      <c r="D46" s="39"/>
      <c r="E46" s="2032"/>
      <c r="F46" s="6"/>
      <c r="G46" s="6"/>
      <c r="H46" s="6"/>
      <c r="I46" s="2032"/>
      <c r="J46" s="6"/>
      <c r="K46" s="6"/>
      <c r="L46" s="6"/>
      <c r="M46" s="2034"/>
      <c r="N46" s="6">
        <f>'841126-116-Önk. igazgatás'!E228</f>
        <v>150</v>
      </c>
      <c r="O46" s="6">
        <v>150</v>
      </c>
      <c r="P46" s="39">
        <v>0</v>
      </c>
      <c r="Q46" s="2032">
        <f>P46/O46</f>
        <v>0</v>
      </c>
      <c r="R46" s="6"/>
      <c r="S46" s="6"/>
      <c r="T46" s="6"/>
      <c r="U46" s="6"/>
      <c r="V46" s="6"/>
      <c r="W46" s="6"/>
      <c r="X46" s="6"/>
      <c r="Y46" s="2033"/>
      <c r="Z46" s="6">
        <f>+B46+F46+J46+N46+R46+V46</f>
        <v>150</v>
      </c>
      <c r="AA46" s="6">
        <f t="shared" si="6"/>
        <v>150</v>
      </c>
      <c r="AB46" s="6">
        <f t="shared" si="6"/>
        <v>0</v>
      </c>
      <c r="AC46" s="2032">
        <f t="shared" si="1"/>
        <v>0</v>
      </c>
    </row>
    <row r="47" spans="1:29" ht="12.75">
      <c r="A47" s="13" t="s">
        <v>1129</v>
      </c>
      <c r="B47" s="39"/>
      <c r="C47" s="39"/>
      <c r="D47" s="39"/>
      <c r="E47" s="2032"/>
      <c r="F47" s="6"/>
      <c r="G47" s="6"/>
      <c r="H47" s="6"/>
      <c r="I47" s="2032"/>
      <c r="J47" s="6"/>
      <c r="K47" s="6"/>
      <c r="L47" s="6"/>
      <c r="M47" s="2034"/>
      <c r="N47" s="6">
        <f>'841126-116-Önk. igazgatás'!E229</f>
        <v>1392</v>
      </c>
      <c r="O47" s="6">
        <v>1392</v>
      </c>
      <c r="P47" s="39">
        <v>0</v>
      </c>
      <c r="Q47" s="2032">
        <f>P47/O47</f>
        <v>0</v>
      </c>
      <c r="R47" s="6"/>
      <c r="S47" s="6"/>
      <c r="T47" s="6"/>
      <c r="U47" s="6"/>
      <c r="V47" s="6"/>
      <c r="W47" s="6"/>
      <c r="X47" s="6"/>
      <c r="Y47" s="2033"/>
      <c r="Z47" s="6">
        <f>+B47+F47+J47+N47+R47+V47</f>
        <v>1392</v>
      </c>
      <c r="AA47" s="6">
        <f t="shared" si="6"/>
        <v>1392</v>
      </c>
      <c r="AB47" s="6">
        <f t="shared" si="6"/>
        <v>0</v>
      </c>
      <c r="AC47" s="2032">
        <f t="shared" si="1"/>
        <v>0</v>
      </c>
    </row>
    <row r="48" spans="1:29" ht="12.75">
      <c r="A48" s="13" t="s">
        <v>1984</v>
      </c>
      <c r="B48" s="39"/>
      <c r="C48" s="39"/>
      <c r="D48" s="39"/>
      <c r="E48" s="2032"/>
      <c r="F48" s="6"/>
      <c r="G48" s="6"/>
      <c r="H48" s="6"/>
      <c r="I48" s="2032"/>
      <c r="J48" s="6"/>
      <c r="K48" s="6"/>
      <c r="L48" s="6"/>
      <c r="M48" s="2034"/>
      <c r="N48" s="6"/>
      <c r="O48" s="6"/>
      <c r="P48" s="39"/>
      <c r="Q48" s="2032"/>
      <c r="R48" s="6">
        <v>0</v>
      </c>
      <c r="S48" s="6">
        <v>0</v>
      </c>
      <c r="T48" s="6">
        <v>1043</v>
      </c>
      <c r="U48" s="2071">
        <v>0</v>
      </c>
      <c r="V48" s="6"/>
      <c r="W48" s="6"/>
      <c r="X48" s="6"/>
      <c r="Y48" s="2033"/>
      <c r="Z48" s="6">
        <f aca="true" t="shared" si="8" ref="Z48:Z55">+B48+F48+J48+N48+R48+V48</f>
        <v>0</v>
      </c>
      <c r="AA48" s="6">
        <f t="shared" si="6"/>
        <v>0</v>
      </c>
      <c r="AB48" s="6">
        <f t="shared" si="6"/>
        <v>1043</v>
      </c>
      <c r="AC48" s="2032">
        <v>0</v>
      </c>
    </row>
    <row r="49" spans="1:29" ht="12.75">
      <c r="A49" s="13" t="s">
        <v>260</v>
      </c>
      <c r="B49" s="39"/>
      <c r="C49" s="39"/>
      <c r="D49" s="39"/>
      <c r="E49" s="2032"/>
      <c r="F49" s="6"/>
      <c r="G49" s="6"/>
      <c r="H49" s="6"/>
      <c r="I49" s="2032"/>
      <c r="J49" s="6"/>
      <c r="K49" s="6"/>
      <c r="L49" s="6"/>
      <c r="M49" s="2034"/>
      <c r="N49" s="6"/>
      <c r="O49" s="6"/>
      <c r="P49" s="39"/>
      <c r="Q49" s="2032"/>
      <c r="R49" s="6">
        <v>0</v>
      </c>
      <c r="S49" s="6">
        <v>0</v>
      </c>
      <c r="T49" s="6">
        <v>11</v>
      </c>
      <c r="U49" s="2071">
        <v>0</v>
      </c>
      <c r="V49" s="6"/>
      <c r="W49" s="6"/>
      <c r="X49" s="6"/>
      <c r="Y49" s="2033"/>
      <c r="Z49" s="6">
        <f t="shared" si="8"/>
        <v>0</v>
      </c>
      <c r="AA49" s="6">
        <f t="shared" si="6"/>
        <v>0</v>
      </c>
      <c r="AB49" s="6">
        <f t="shared" si="6"/>
        <v>11</v>
      </c>
      <c r="AC49" s="2032">
        <v>0</v>
      </c>
    </row>
    <row r="50" spans="1:29" ht="12.75">
      <c r="A50" s="13" t="s">
        <v>261</v>
      </c>
      <c r="B50" s="39"/>
      <c r="C50" s="39"/>
      <c r="D50" s="39"/>
      <c r="E50" s="2032"/>
      <c r="F50" s="6"/>
      <c r="G50" s="6"/>
      <c r="H50" s="6"/>
      <c r="I50" s="2032"/>
      <c r="J50" s="6"/>
      <c r="K50" s="6"/>
      <c r="L50" s="6"/>
      <c r="M50" s="2034"/>
      <c r="N50" s="6"/>
      <c r="O50" s="6"/>
      <c r="P50" s="39"/>
      <c r="Q50" s="2032"/>
      <c r="R50" s="6">
        <v>0</v>
      </c>
      <c r="S50" s="6">
        <v>0</v>
      </c>
      <c r="T50" s="6">
        <v>127</v>
      </c>
      <c r="U50" s="2071">
        <v>0</v>
      </c>
      <c r="V50" s="6"/>
      <c r="W50" s="6"/>
      <c r="X50" s="6"/>
      <c r="Y50" s="2033"/>
      <c r="Z50" s="6">
        <f t="shared" si="8"/>
        <v>0</v>
      </c>
      <c r="AA50" s="6">
        <f t="shared" si="6"/>
        <v>0</v>
      </c>
      <c r="AB50" s="6">
        <f t="shared" si="6"/>
        <v>127</v>
      </c>
      <c r="AC50" s="2032">
        <v>0</v>
      </c>
    </row>
    <row r="51" spans="1:29" ht="12.75">
      <c r="A51" s="13" t="s">
        <v>1983</v>
      </c>
      <c r="B51" s="39"/>
      <c r="C51" s="39"/>
      <c r="D51" s="39"/>
      <c r="E51" s="2032"/>
      <c r="F51" s="6"/>
      <c r="G51" s="6"/>
      <c r="H51" s="6"/>
      <c r="I51" s="2032"/>
      <c r="J51" s="6"/>
      <c r="K51" s="6"/>
      <c r="L51" s="2072"/>
      <c r="M51" s="2034"/>
      <c r="N51" s="6">
        <f>'841126-116-Önk. igazgatás'!E232</f>
        <v>5866</v>
      </c>
      <c r="O51" s="6">
        <v>5866</v>
      </c>
      <c r="P51" s="39">
        <v>17376</v>
      </c>
      <c r="Q51" s="2032">
        <f>P51/O51</f>
        <v>2.9621547903170815</v>
      </c>
      <c r="R51" s="6"/>
      <c r="S51" s="6"/>
      <c r="T51" s="6"/>
      <c r="U51" s="6"/>
      <c r="V51" s="6"/>
      <c r="W51" s="6"/>
      <c r="X51" s="6"/>
      <c r="Y51" s="2033"/>
      <c r="Z51" s="6">
        <f t="shared" si="8"/>
        <v>5866</v>
      </c>
      <c r="AA51" s="6">
        <f t="shared" si="6"/>
        <v>5866</v>
      </c>
      <c r="AB51" s="6">
        <f t="shared" si="6"/>
        <v>17376</v>
      </c>
      <c r="AC51" s="2032">
        <f t="shared" si="1"/>
        <v>2.9621547903170815</v>
      </c>
    </row>
    <row r="52" spans="1:29" ht="12.75">
      <c r="A52" s="737" t="s">
        <v>463</v>
      </c>
      <c r="B52" s="39"/>
      <c r="C52" s="39"/>
      <c r="D52" s="39"/>
      <c r="E52" s="2032"/>
      <c r="F52" s="6"/>
      <c r="G52" s="6"/>
      <c r="H52" s="6"/>
      <c r="I52" s="2032"/>
      <c r="J52" s="6"/>
      <c r="K52" s="6"/>
      <c r="L52" s="6"/>
      <c r="M52" s="2034"/>
      <c r="N52" s="6"/>
      <c r="O52" s="6"/>
      <c r="P52" s="39"/>
      <c r="Q52" s="2032"/>
      <c r="R52" s="6">
        <f>+'841358 - EKF'!D39</f>
        <v>648</v>
      </c>
      <c r="S52" s="6">
        <v>648</v>
      </c>
      <c r="T52" s="6">
        <v>0</v>
      </c>
      <c r="U52" s="2034">
        <f>T52/S52</f>
        <v>0</v>
      </c>
      <c r="V52" s="6"/>
      <c r="W52" s="6"/>
      <c r="X52" s="6"/>
      <c r="Y52" s="2033"/>
      <c r="Z52" s="6">
        <f>+B52+F52+J52+N52+R52+V52</f>
        <v>648</v>
      </c>
      <c r="AA52" s="6">
        <f t="shared" si="6"/>
        <v>648</v>
      </c>
      <c r="AB52" s="6">
        <f t="shared" si="6"/>
        <v>0</v>
      </c>
      <c r="AC52" s="2032">
        <f t="shared" si="1"/>
        <v>0</v>
      </c>
    </row>
    <row r="53" spans="1:29" ht="12.75">
      <c r="A53" s="737" t="s">
        <v>1366</v>
      </c>
      <c r="B53" s="39"/>
      <c r="C53" s="39"/>
      <c r="D53" s="39"/>
      <c r="E53" s="2032"/>
      <c r="F53" s="6"/>
      <c r="G53" s="6"/>
      <c r="H53" s="6"/>
      <c r="I53" s="2032"/>
      <c r="J53" s="6"/>
      <c r="K53" s="6"/>
      <c r="L53" s="6"/>
      <c r="M53" s="2034"/>
      <c r="N53" s="6">
        <v>0</v>
      </c>
      <c r="O53" s="6">
        <v>0</v>
      </c>
      <c r="P53" s="39">
        <v>71549</v>
      </c>
      <c r="Q53" s="2032">
        <v>0</v>
      </c>
      <c r="R53" s="6"/>
      <c r="S53" s="6"/>
      <c r="T53" s="6"/>
      <c r="U53" s="2034"/>
      <c r="V53" s="6"/>
      <c r="W53" s="6"/>
      <c r="X53" s="6"/>
      <c r="Y53" s="2033"/>
      <c r="Z53" s="6">
        <f t="shared" si="8"/>
        <v>0</v>
      </c>
      <c r="AA53" s="6">
        <f t="shared" si="6"/>
        <v>0</v>
      </c>
      <c r="AB53" s="6">
        <f t="shared" si="6"/>
        <v>71549</v>
      </c>
      <c r="AC53" s="2032">
        <v>0</v>
      </c>
    </row>
    <row r="54" spans="1:29" ht="12.75">
      <c r="A54" s="737" t="s">
        <v>248</v>
      </c>
      <c r="B54" s="39"/>
      <c r="C54" s="39"/>
      <c r="D54" s="39"/>
      <c r="E54" s="2032"/>
      <c r="F54" s="6"/>
      <c r="G54" s="6"/>
      <c r="H54" s="6"/>
      <c r="I54" s="2032"/>
      <c r="J54" s="6"/>
      <c r="K54" s="6"/>
      <c r="L54" s="6"/>
      <c r="M54" s="2034"/>
      <c r="N54" s="6"/>
      <c r="O54" s="6"/>
      <c r="P54" s="39"/>
      <c r="Q54" s="2032"/>
      <c r="R54" s="6"/>
      <c r="S54" s="6"/>
      <c r="T54" s="6"/>
      <c r="U54" s="2034"/>
      <c r="V54" s="6"/>
      <c r="W54" s="6"/>
      <c r="X54" s="6"/>
      <c r="Y54" s="2033"/>
      <c r="Z54" s="6">
        <f t="shared" si="8"/>
        <v>0</v>
      </c>
      <c r="AA54" s="6">
        <f t="shared" si="6"/>
        <v>0</v>
      </c>
      <c r="AB54" s="6">
        <f t="shared" si="6"/>
        <v>0</v>
      </c>
      <c r="AC54" s="2032">
        <v>0</v>
      </c>
    </row>
    <row r="55" spans="1:29" ht="12.75">
      <c r="A55" s="737" t="s">
        <v>1226</v>
      </c>
      <c r="B55" s="39"/>
      <c r="C55" s="39"/>
      <c r="D55" s="39"/>
      <c r="E55" s="2032"/>
      <c r="F55" s="6"/>
      <c r="G55" s="6"/>
      <c r="H55" s="6"/>
      <c r="I55" s="2032"/>
      <c r="J55" s="6"/>
      <c r="K55" s="6"/>
      <c r="L55" s="6"/>
      <c r="M55" s="2034"/>
      <c r="N55" s="6">
        <v>0</v>
      </c>
      <c r="O55" s="6">
        <v>0</v>
      </c>
      <c r="P55" s="39">
        <v>3979</v>
      </c>
      <c r="Q55" s="2032">
        <v>0</v>
      </c>
      <c r="R55" s="6">
        <f>'Támop-3.2.3'!E33</f>
        <v>4170</v>
      </c>
      <c r="S55" s="6">
        <v>4170</v>
      </c>
      <c r="T55" s="6">
        <v>0</v>
      </c>
      <c r="U55" s="2034">
        <f>T55/S55</f>
        <v>0</v>
      </c>
      <c r="V55" s="6"/>
      <c r="W55" s="6"/>
      <c r="X55" s="6"/>
      <c r="Y55" s="2033"/>
      <c r="Z55" s="6">
        <f t="shared" si="8"/>
        <v>4170</v>
      </c>
      <c r="AA55" s="6">
        <f t="shared" si="6"/>
        <v>4170</v>
      </c>
      <c r="AB55" s="6">
        <f t="shared" si="6"/>
        <v>3979</v>
      </c>
      <c r="AC55" s="2032">
        <f t="shared" si="1"/>
        <v>0.9541966426858514</v>
      </c>
    </row>
    <row r="56" spans="1:29" ht="12.75">
      <c r="A56" s="1993" t="s">
        <v>2258</v>
      </c>
      <c r="B56" s="50">
        <f>SUM(B13:B55)</f>
        <v>0</v>
      </c>
      <c r="C56" s="50">
        <f aca="true" t="shared" si="9" ref="C56:AB56">SUM(C13:C55)</f>
        <v>0</v>
      </c>
      <c r="D56" s="50">
        <f t="shared" si="9"/>
        <v>13627</v>
      </c>
      <c r="E56" s="2032"/>
      <c r="F56" s="50">
        <f t="shared" si="9"/>
        <v>326979</v>
      </c>
      <c r="G56" s="50">
        <f t="shared" si="9"/>
        <v>326979</v>
      </c>
      <c r="H56" s="50">
        <f t="shared" si="9"/>
        <v>349316</v>
      </c>
      <c r="I56" s="2032">
        <f>H56/G56</f>
        <v>1.0683132555913377</v>
      </c>
      <c r="J56" s="50">
        <f t="shared" si="9"/>
        <v>493709</v>
      </c>
      <c r="K56" s="50">
        <f>SUM(K13:K55)</f>
        <v>687616.64</v>
      </c>
      <c r="L56" s="50">
        <f>SUM(L13:L55)</f>
        <v>687616</v>
      </c>
      <c r="M56" s="2034">
        <f>L56/K56</f>
        <v>0.9999990692488187</v>
      </c>
      <c r="N56" s="50">
        <f t="shared" si="9"/>
        <v>205227</v>
      </c>
      <c r="O56" s="50">
        <f t="shared" si="9"/>
        <v>205227</v>
      </c>
      <c r="P56" s="50">
        <f t="shared" si="9"/>
        <v>285373</v>
      </c>
      <c r="Q56" s="2032">
        <f>P56/O56</f>
        <v>1.3905236640403067</v>
      </c>
      <c r="R56" s="50">
        <f t="shared" si="9"/>
        <v>4818</v>
      </c>
      <c r="S56" s="50">
        <f t="shared" si="9"/>
        <v>4818</v>
      </c>
      <c r="T56" s="50">
        <f t="shared" si="9"/>
        <v>1181</v>
      </c>
      <c r="U56" s="2034">
        <f>T56/S56</f>
        <v>0.24512245745122457</v>
      </c>
      <c r="V56" s="50">
        <f t="shared" si="9"/>
        <v>239802.93529873138</v>
      </c>
      <c r="W56" s="50">
        <f t="shared" si="9"/>
        <v>89152</v>
      </c>
      <c r="X56" s="50">
        <f t="shared" si="9"/>
        <v>889168</v>
      </c>
      <c r="Y56" s="2033">
        <f>X56/W56</f>
        <v>9.97361809045226</v>
      </c>
      <c r="Z56" s="50">
        <f t="shared" si="9"/>
        <v>1270535.9352987313</v>
      </c>
      <c r="AA56" s="50">
        <f t="shared" si="9"/>
        <v>1313792.64</v>
      </c>
      <c r="AB56" s="50">
        <f t="shared" si="9"/>
        <v>2226281</v>
      </c>
      <c r="AC56" s="2032">
        <f t="shared" si="1"/>
        <v>1.6945451909366764</v>
      </c>
    </row>
    <row r="57" spans="1:29" s="9" customFormat="1" ht="12.75">
      <c r="A57" s="11" t="s">
        <v>229</v>
      </c>
      <c r="B57" s="35">
        <f>B12+B56</f>
        <v>3500</v>
      </c>
      <c r="C57" s="35">
        <f>C12+C56</f>
        <v>3500</v>
      </c>
      <c r="D57" s="35">
        <f>D12+D56</f>
        <v>15482</v>
      </c>
      <c r="E57" s="2032">
        <f>D57/C57</f>
        <v>4.4234285714285715</v>
      </c>
      <c r="F57" s="35">
        <f>F12+F56</f>
        <v>326979</v>
      </c>
      <c r="G57" s="35">
        <f>G12+G56</f>
        <v>326979</v>
      </c>
      <c r="H57" s="35">
        <f>H12+H56</f>
        <v>349316</v>
      </c>
      <c r="I57" s="2032">
        <f>H57/G57</f>
        <v>1.0683132555913377</v>
      </c>
      <c r="J57" s="35">
        <f>J12+J56</f>
        <v>493709</v>
      </c>
      <c r="K57" s="35">
        <f>K12+K56</f>
        <v>687616.64</v>
      </c>
      <c r="L57" s="35">
        <f>L12+L56</f>
        <v>687616</v>
      </c>
      <c r="M57" s="2034">
        <f>L57/K57</f>
        <v>0.9999990692488187</v>
      </c>
      <c r="N57" s="35">
        <f>N12+N56</f>
        <v>240786.8412012686</v>
      </c>
      <c r="O57" s="35">
        <f>O12+O56</f>
        <v>240787</v>
      </c>
      <c r="P57" s="35">
        <f>P12+P56</f>
        <v>290226</v>
      </c>
      <c r="Q57" s="2032">
        <f>P57/O57</f>
        <v>1.205322546482991</v>
      </c>
      <c r="R57" s="35">
        <f>R12+R56</f>
        <v>4818</v>
      </c>
      <c r="S57" s="35">
        <f>S12+S56</f>
        <v>4818</v>
      </c>
      <c r="T57" s="35">
        <f>T12+T56</f>
        <v>1181</v>
      </c>
      <c r="U57" s="2034">
        <f>T57/S57</f>
        <v>0.24512245745122457</v>
      </c>
      <c r="V57" s="35">
        <f>V12+V56</f>
        <v>239802.93529873138</v>
      </c>
      <c r="W57" s="35">
        <f>W12+W56</f>
        <v>89152</v>
      </c>
      <c r="X57" s="35">
        <f>X12+X56</f>
        <v>889168</v>
      </c>
      <c r="Y57" s="2033">
        <f>X57/W57</f>
        <v>9.97361809045226</v>
      </c>
      <c r="Z57" s="35">
        <f>Z12+Z56</f>
        <v>1309595.7765</v>
      </c>
      <c r="AA57" s="35">
        <f>AA12+AA56</f>
        <v>1352852.64</v>
      </c>
      <c r="AB57" s="35">
        <f>AB12+AB56</f>
        <v>2232989</v>
      </c>
      <c r="AC57" s="2032">
        <f t="shared" si="1"/>
        <v>1.6505781442685437</v>
      </c>
    </row>
  </sheetData>
  <sheetProtection/>
  <mergeCells count="13">
    <mergeCell ref="A2:Z2"/>
    <mergeCell ref="Z4:AA4"/>
    <mergeCell ref="A3:AC3"/>
    <mergeCell ref="Z1:AC1"/>
    <mergeCell ref="N5:U5"/>
    <mergeCell ref="V5:Y6"/>
    <mergeCell ref="Z5:AC6"/>
    <mergeCell ref="A5:A7"/>
    <mergeCell ref="B5:E6"/>
    <mergeCell ref="F5:I6"/>
    <mergeCell ref="J5:M6"/>
    <mergeCell ref="N6:Q6"/>
    <mergeCell ref="R6:U6"/>
  </mergeCells>
  <printOptions horizontalCentered="1"/>
  <pageMargins left="0.34" right="0.33" top="0.984251968503937" bottom="0.984251968503937" header="0.5118110236220472" footer="0.5118110236220472"/>
  <pageSetup horizontalDpi="600" verticalDpi="600" orientation="landscape" paperSize="8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75" zoomScaleSheetLayoutView="75" zoomScalePageLayoutView="0" workbookViewId="0" topLeftCell="A1">
      <selection activeCell="H29" sqref="H29"/>
    </sheetView>
  </sheetViews>
  <sheetFormatPr defaultColWidth="9.140625" defaultRowHeight="12.75"/>
  <cols>
    <col min="1" max="1" width="36.7109375" style="0" customWidth="1"/>
    <col min="2" max="2" width="13.57421875" style="0" customWidth="1"/>
    <col min="3" max="3" width="10.140625" style="0" customWidth="1"/>
    <col min="4" max="4" width="13.7109375" style="0" customWidth="1"/>
    <col min="5" max="5" width="15.57421875" style="7" customWidth="1"/>
    <col min="6" max="6" width="16.421875" style="0" customWidth="1"/>
  </cols>
  <sheetData>
    <row r="1" ht="12.75">
      <c r="F1" s="1" t="s">
        <v>1254</v>
      </c>
    </row>
    <row r="3" spans="1:6" ht="12.75">
      <c r="A3" s="2454" t="s">
        <v>1700</v>
      </c>
      <c r="B3" s="2454"/>
      <c r="C3" s="2454"/>
      <c r="D3" s="2454"/>
      <c r="E3" s="2454"/>
      <c r="F3" s="2454"/>
    </row>
    <row r="4" spans="4:5" ht="12.75">
      <c r="D4" s="2423"/>
      <c r="E4" s="2423"/>
    </row>
    <row r="5" spans="1:6" ht="15.75">
      <c r="A5" s="2455" t="s">
        <v>1701</v>
      </c>
      <c r="B5" s="2455"/>
      <c r="C5" s="2455"/>
      <c r="D5" s="2455"/>
      <c r="E5" s="2455"/>
      <c r="F5" s="2455"/>
    </row>
    <row r="6" spans="1:4" ht="12.75">
      <c r="A6" s="2419"/>
      <c r="B6" s="2419"/>
      <c r="C6" s="2419"/>
      <c r="D6" s="2419"/>
    </row>
    <row r="7" spans="1:4" ht="12.75">
      <c r="A7" s="19"/>
      <c r="B7" s="19"/>
      <c r="C7" s="19"/>
      <c r="D7" s="19"/>
    </row>
    <row r="8" spans="1:4" ht="12.75">
      <c r="A8" s="19"/>
      <c r="B8" s="19"/>
      <c r="C8" s="19"/>
      <c r="D8" s="19"/>
    </row>
    <row r="9" spans="5:6" ht="12.75">
      <c r="E9" s="2453" t="s">
        <v>1371</v>
      </c>
      <c r="F9" s="2453"/>
    </row>
    <row r="10" spans="1:6" s="12" customFormat="1" ht="12.75" customHeight="1">
      <c r="A10" s="2457" t="s">
        <v>1702</v>
      </c>
      <c r="B10" s="2458" t="s">
        <v>1703</v>
      </c>
      <c r="C10" s="2458" t="s">
        <v>1704</v>
      </c>
      <c r="D10" s="2458" t="s">
        <v>1705</v>
      </c>
      <c r="E10" s="2456" t="s">
        <v>1706</v>
      </c>
      <c r="F10" s="2456"/>
    </row>
    <row r="11" spans="1:6" s="12" customFormat="1" ht="22.5">
      <c r="A11" s="2457"/>
      <c r="B11" s="2458"/>
      <c r="C11" s="2458"/>
      <c r="D11" s="2458"/>
      <c r="E11" s="2123" t="s">
        <v>1707</v>
      </c>
      <c r="F11" s="2123" t="s">
        <v>1708</v>
      </c>
    </row>
    <row r="12" spans="1:6" ht="12.75">
      <c r="A12" s="2124" t="s">
        <v>1709</v>
      </c>
      <c r="B12" s="2125" t="s">
        <v>1710</v>
      </c>
      <c r="C12" s="2126">
        <v>19471</v>
      </c>
      <c r="D12" s="2126">
        <v>10391</v>
      </c>
      <c r="E12" s="2127">
        <v>1040</v>
      </c>
      <c r="F12" s="2127">
        <v>9351</v>
      </c>
    </row>
    <row r="13" spans="1:6" ht="12.75">
      <c r="A13" s="2074" t="s">
        <v>1711</v>
      </c>
      <c r="B13" s="2128" t="s">
        <v>1712</v>
      </c>
      <c r="C13" s="2129">
        <v>5043</v>
      </c>
      <c r="D13" s="2126">
        <v>807</v>
      </c>
      <c r="E13" s="2127">
        <v>807</v>
      </c>
      <c r="F13" s="2130">
        <v>0</v>
      </c>
    </row>
    <row r="14" spans="1:6" ht="12.75">
      <c r="A14" s="2074" t="s">
        <v>1713</v>
      </c>
      <c r="B14" s="2128" t="s">
        <v>1712</v>
      </c>
      <c r="C14" s="2129">
        <v>9218</v>
      </c>
      <c r="D14" s="2126">
        <v>1366</v>
      </c>
      <c r="E14" s="2127">
        <v>1366</v>
      </c>
      <c r="F14" s="2131">
        <f aca="true" t="shared" si="0" ref="F14:F25">D14-E14</f>
        <v>0</v>
      </c>
    </row>
    <row r="15" spans="1:6" ht="12.75">
      <c r="A15" s="2074" t="s">
        <v>1714</v>
      </c>
      <c r="B15" s="2128" t="s">
        <v>1715</v>
      </c>
      <c r="C15" s="2132">
        <v>36000</v>
      </c>
      <c r="D15" s="2126">
        <v>31259</v>
      </c>
      <c r="E15" s="2127">
        <v>2107</v>
      </c>
      <c r="F15" s="2131">
        <f t="shared" si="0"/>
        <v>29152</v>
      </c>
    </row>
    <row r="16" spans="1:6" ht="12.75">
      <c r="A16" s="2074" t="s">
        <v>1716</v>
      </c>
      <c r="B16" s="2128" t="s">
        <v>1717</v>
      </c>
      <c r="C16" s="2132">
        <v>77478</v>
      </c>
      <c r="D16" s="2126">
        <v>63484</v>
      </c>
      <c r="E16" s="2127">
        <v>6456</v>
      </c>
      <c r="F16" s="2131">
        <f t="shared" si="0"/>
        <v>57028</v>
      </c>
    </row>
    <row r="17" spans="1:6" ht="25.5">
      <c r="A17" s="2074" t="s">
        <v>1718</v>
      </c>
      <c r="B17" s="2128" t="s">
        <v>1715</v>
      </c>
      <c r="C17" s="2132">
        <v>6520</v>
      </c>
      <c r="D17" s="2126">
        <v>5549</v>
      </c>
      <c r="E17" s="2127">
        <v>384</v>
      </c>
      <c r="F17" s="2127">
        <f t="shared" si="0"/>
        <v>5165</v>
      </c>
    </row>
    <row r="18" spans="1:6" ht="25.5">
      <c r="A18" s="2074" t="s">
        <v>1719</v>
      </c>
      <c r="B18" s="2128" t="s">
        <v>1720</v>
      </c>
      <c r="C18" s="2132">
        <v>1744</v>
      </c>
      <c r="D18" s="2133">
        <v>1680</v>
      </c>
      <c r="E18" s="2127">
        <v>336</v>
      </c>
      <c r="F18" s="2127">
        <f t="shared" si="0"/>
        <v>1344</v>
      </c>
    </row>
    <row r="19" spans="1:6" ht="12.75">
      <c r="A19" s="2074" t="s">
        <v>1721</v>
      </c>
      <c r="B19" s="2128" t="s">
        <v>1722</v>
      </c>
      <c r="C19" s="2132">
        <v>15768</v>
      </c>
      <c r="D19" s="2126">
        <v>11262</v>
      </c>
      <c r="E19" s="2127">
        <v>3004</v>
      </c>
      <c r="F19" s="2127">
        <f t="shared" si="0"/>
        <v>8258</v>
      </c>
    </row>
    <row r="20" spans="1:6" ht="12.75">
      <c r="A20" s="2074" t="s">
        <v>1723</v>
      </c>
      <c r="B20" s="2128">
        <v>2011</v>
      </c>
      <c r="C20" s="2132">
        <v>500</v>
      </c>
      <c r="D20" s="2126">
        <v>500</v>
      </c>
      <c r="E20" s="2127"/>
      <c r="F20" s="2127">
        <v>500</v>
      </c>
    </row>
    <row r="21" spans="1:6" ht="12.75">
      <c r="A21" s="2074" t="s">
        <v>1724</v>
      </c>
      <c r="B21" s="2128">
        <v>2010</v>
      </c>
      <c r="C21" s="2132">
        <v>38000</v>
      </c>
      <c r="D21" s="2126">
        <v>38000</v>
      </c>
      <c r="E21" s="2127"/>
      <c r="F21" s="2127">
        <v>38000</v>
      </c>
    </row>
    <row r="22" spans="1:6" ht="25.5">
      <c r="A22" s="2074" t="s">
        <v>2169</v>
      </c>
      <c r="B22" s="2128" t="s">
        <v>1725</v>
      </c>
      <c r="C22" s="2132">
        <v>5706</v>
      </c>
      <c r="D22" s="2126">
        <v>4218</v>
      </c>
      <c r="E22" s="2127">
        <v>846</v>
      </c>
      <c r="F22" s="2131">
        <f t="shared" si="0"/>
        <v>3372</v>
      </c>
    </row>
    <row r="23" spans="1:6" ht="25.5">
      <c r="A23" s="2134" t="s">
        <v>1726</v>
      </c>
      <c r="B23" s="2135"/>
      <c r="C23" s="2136">
        <f>SUM(C12:C22)</f>
        <v>215448</v>
      </c>
      <c r="D23" s="2136">
        <f>SUM(D12:D22)</f>
        <v>168516</v>
      </c>
      <c r="E23" s="2136">
        <f>SUM(E12:E22)</f>
        <v>16346</v>
      </c>
      <c r="F23" s="2137">
        <f t="shared" si="0"/>
        <v>152170</v>
      </c>
    </row>
    <row r="24" spans="1:6" s="22" customFormat="1" ht="12.75">
      <c r="A24" s="2074" t="s">
        <v>1727</v>
      </c>
      <c r="B24" s="2128" t="s">
        <v>1728</v>
      </c>
      <c r="C24" s="2132">
        <v>68000</v>
      </c>
      <c r="D24" s="2126">
        <v>39660</v>
      </c>
      <c r="E24" s="2127">
        <v>18421</v>
      </c>
      <c r="F24" s="2127">
        <f t="shared" si="0"/>
        <v>21239</v>
      </c>
    </row>
    <row r="25" spans="1:6" s="22" customFormat="1" ht="25.5">
      <c r="A25" s="2134" t="s">
        <v>1729</v>
      </c>
      <c r="B25" s="2138"/>
      <c r="C25" s="2138">
        <f>SUM(C24:C24)</f>
        <v>68000</v>
      </c>
      <c r="D25" s="2138">
        <f>SUM(D24:D24)</f>
        <v>39660</v>
      </c>
      <c r="E25" s="2138">
        <f>SUM(E24:E24)</f>
        <v>18421</v>
      </c>
      <c r="F25" s="2137">
        <f t="shared" si="0"/>
        <v>21239</v>
      </c>
    </row>
    <row r="26" spans="1:6" s="22" customFormat="1" ht="12.75">
      <c r="A26" s="2074" t="s">
        <v>809</v>
      </c>
      <c r="B26" s="2139">
        <v>2013</v>
      </c>
      <c r="C26" s="2140">
        <v>150000</v>
      </c>
      <c r="D26" s="2126">
        <v>17789</v>
      </c>
      <c r="E26" s="2127">
        <v>17789</v>
      </c>
      <c r="F26" s="2141">
        <v>0</v>
      </c>
    </row>
    <row r="27" spans="1:6" s="22" customFormat="1" ht="12.75">
      <c r="A27" s="2074" t="s">
        <v>811</v>
      </c>
      <c r="B27" s="2139">
        <v>2013</v>
      </c>
      <c r="C27" s="2140">
        <v>0</v>
      </c>
      <c r="D27" s="2126">
        <v>0</v>
      </c>
      <c r="E27" s="2127">
        <v>0</v>
      </c>
      <c r="F27" s="2141">
        <v>0</v>
      </c>
    </row>
    <row r="28" spans="1:6" s="22" customFormat="1" ht="12.75">
      <c r="A28" s="2134" t="s">
        <v>1730</v>
      </c>
      <c r="B28" s="2138">
        <v>2013</v>
      </c>
      <c r="C28" s="2138">
        <v>140000</v>
      </c>
      <c r="D28" s="2138">
        <v>131999</v>
      </c>
      <c r="E28" s="2138">
        <v>131999</v>
      </c>
      <c r="F28" s="2137">
        <f>D28-E28</f>
        <v>0</v>
      </c>
    </row>
    <row r="29" spans="1:6" s="22" customFormat="1" ht="27.75" customHeight="1">
      <c r="A29" s="2134" t="s">
        <v>1731</v>
      </c>
      <c r="B29" s="2138"/>
      <c r="C29" s="2138">
        <f>SUM(C26:C28)</f>
        <v>290000</v>
      </c>
      <c r="D29" s="2138">
        <f>SUM(D26:D28)</f>
        <v>149788</v>
      </c>
      <c r="E29" s="2138">
        <f>SUM(E26:E28)</f>
        <v>149788</v>
      </c>
      <c r="F29" s="2138">
        <f>SUM(F26:F28)</f>
        <v>0</v>
      </c>
    </row>
    <row r="30" spans="1:6" s="22" customFormat="1" ht="15.75">
      <c r="A30" s="2142" t="s">
        <v>1732</v>
      </c>
      <c r="B30" s="2143"/>
      <c r="C30" s="2143">
        <f>SUM(+C23+C25+C29)</f>
        <v>573448</v>
      </c>
      <c r="D30" s="2143">
        <f>SUM(+D23+D25+D29)</f>
        <v>357964</v>
      </c>
      <c r="E30" s="2143">
        <f>SUM(+E23+E25+E29)</f>
        <v>184555</v>
      </c>
      <c r="F30" s="2143">
        <f>SUM(+F23+F25+F29)</f>
        <v>173409</v>
      </c>
    </row>
    <row r="31" spans="1:6" s="22" customFormat="1" ht="12.75">
      <c r="A31" s="2144"/>
      <c r="B31" s="2145"/>
      <c r="C31" s="2145"/>
      <c r="D31" s="2145"/>
      <c r="E31" s="2145"/>
      <c r="F31" s="39"/>
    </row>
    <row r="32" spans="1:6" s="22" customFormat="1" ht="15.75">
      <c r="A32" s="2146"/>
      <c r="B32" s="940"/>
      <c r="C32" s="940"/>
      <c r="D32" s="940"/>
      <c r="E32" s="940"/>
      <c r="F32" s="940"/>
    </row>
    <row r="33" spans="1:5" s="22" customFormat="1" ht="12.75">
      <c r="A33" s="2147"/>
      <c r="C33" s="2147"/>
      <c r="E33" s="2148"/>
    </row>
    <row r="34" s="22" customFormat="1" ht="12.75">
      <c r="E34" s="2148"/>
    </row>
    <row r="35" s="22" customFormat="1" ht="12.75">
      <c r="E35" s="2148"/>
    </row>
    <row r="36" s="22" customFormat="1" ht="12.75">
      <c r="E36" s="2148"/>
    </row>
    <row r="37" s="22" customFormat="1" ht="12.75">
      <c r="E37" s="2148"/>
    </row>
    <row r="38" s="22" customFormat="1" ht="12.75">
      <c r="E38" s="2148"/>
    </row>
    <row r="39" s="22" customFormat="1" ht="12.75">
      <c r="E39" s="2148"/>
    </row>
    <row r="40" s="22" customFormat="1" ht="12.75">
      <c r="E40" s="2148"/>
    </row>
    <row r="41" s="22" customFormat="1" ht="12.75">
      <c r="E41" s="2148"/>
    </row>
    <row r="42" s="22" customFormat="1" ht="12.75">
      <c r="E42" s="2148"/>
    </row>
    <row r="43" s="22" customFormat="1" ht="12.75">
      <c r="E43" s="2148"/>
    </row>
    <row r="44" s="22" customFormat="1" ht="12.75">
      <c r="E44" s="2148"/>
    </row>
    <row r="45" s="22" customFormat="1" ht="12.75">
      <c r="E45" s="2148"/>
    </row>
    <row r="46" s="22" customFormat="1" ht="12.75">
      <c r="E46" s="2148"/>
    </row>
    <row r="47" s="22" customFormat="1" ht="12.75">
      <c r="E47" s="2148"/>
    </row>
    <row r="48" s="22" customFormat="1" ht="12.75">
      <c r="E48" s="2148"/>
    </row>
    <row r="49" s="22" customFormat="1" ht="12.75">
      <c r="E49" s="2148"/>
    </row>
    <row r="50" s="22" customFormat="1" ht="12.75">
      <c r="E50" s="2148"/>
    </row>
    <row r="51" s="22" customFormat="1" ht="12.75">
      <c r="E51" s="2148"/>
    </row>
    <row r="52" s="22" customFormat="1" ht="12.75">
      <c r="E52" s="2148"/>
    </row>
    <row r="53" s="22" customFormat="1" ht="12.75">
      <c r="E53" s="2148"/>
    </row>
  </sheetData>
  <sheetProtection/>
  <mergeCells count="10">
    <mergeCell ref="E9:F9"/>
    <mergeCell ref="E10:F10"/>
    <mergeCell ref="A10:A11"/>
    <mergeCell ref="B10:B11"/>
    <mergeCell ref="C10:C11"/>
    <mergeCell ref="D10:D11"/>
    <mergeCell ref="A3:F3"/>
    <mergeCell ref="D4:E4"/>
    <mergeCell ref="A5:F5"/>
    <mergeCell ref="A6:D6"/>
  </mergeCells>
  <printOptions/>
  <pageMargins left="0.5" right="0.75" top="1" bottom="1" header="0.5" footer="0.5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60" zoomScalePageLayoutView="0" workbookViewId="0" topLeftCell="A2">
      <selection activeCell="G2" sqref="G2"/>
    </sheetView>
  </sheetViews>
  <sheetFormatPr defaultColWidth="9.140625" defaultRowHeight="12.75"/>
  <cols>
    <col min="2" max="2" width="30.140625" style="0" customWidth="1"/>
    <col min="3" max="3" width="21.421875" style="0" customWidth="1"/>
    <col min="4" max="4" width="14.00390625" style="0" hidden="1" customWidth="1"/>
    <col min="5" max="5" width="23.140625" style="0" customWidth="1"/>
    <col min="6" max="6" width="15.7109375" style="0" customWidth="1"/>
    <col min="7" max="7" width="12.421875" style="0" customWidth="1"/>
  </cols>
  <sheetData>
    <row r="1" spans="1:8" ht="12.75">
      <c r="A1" s="24"/>
      <c r="B1" s="24"/>
      <c r="C1" s="24"/>
      <c r="G1" s="2023" t="s">
        <v>1256</v>
      </c>
      <c r="H1" s="1987"/>
    </row>
    <row r="2" spans="1:5" ht="12.75">
      <c r="A2" s="24"/>
      <c r="B2" s="24"/>
      <c r="C2" s="24"/>
      <c r="D2" s="9"/>
      <c r="E2" s="9"/>
    </row>
    <row r="3" spans="1:7" ht="12.75">
      <c r="A3" s="2419" t="s">
        <v>1345</v>
      </c>
      <c r="B3" s="2419"/>
      <c r="C3" s="2419"/>
      <c r="D3" s="2419"/>
      <c r="E3" s="2419"/>
      <c r="F3" s="2419"/>
      <c r="G3" s="2419"/>
    </row>
    <row r="4" spans="1:5" ht="12.75">
      <c r="A4" s="24"/>
      <c r="B4" s="24"/>
      <c r="C4" s="24"/>
      <c r="D4" s="24"/>
      <c r="E4" s="24"/>
    </row>
    <row r="5" spans="1:5" ht="12.75">
      <c r="A5" s="24"/>
      <c r="B5" s="24"/>
      <c r="C5" s="24"/>
      <c r="D5" s="24"/>
      <c r="E5" s="24"/>
    </row>
    <row r="6" spans="1:7" ht="18">
      <c r="A6" s="2337" t="s">
        <v>36</v>
      </c>
      <c r="B6" s="2337"/>
      <c r="C6" s="2337"/>
      <c r="D6" s="2337"/>
      <c r="E6" s="2337"/>
      <c r="F6" s="2337"/>
      <c r="G6" s="2337"/>
    </row>
    <row r="7" spans="1:7" ht="18">
      <c r="A7" s="2337" t="s">
        <v>784</v>
      </c>
      <c r="B7" s="2337"/>
      <c r="C7" s="2337"/>
      <c r="D7" s="2337"/>
      <c r="E7" s="2337"/>
      <c r="F7" s="2337"/>
      <c r="G7" s="2337"/>
    </row>
    <row r="8" spans="1:5" ht="18.75">
      <c r="A8" s="265"/>
      <c r="B8" s="265"/>
      <c r="C8" s="265"/>
      <c r="D8" s="265"/>
      <c r="E8" s="265"/>
    </row>
    <row r="9" spans="1:5" ht="18.75">
      <c r="A9" s="265"/>
      <c r="B9" s="265"/>
      <c r="C9" s="265"/>
      <c r="D9" s="265"/>
      <c r="E9" s="265"/>
    </row>
    <row r="10" spans="1:5" ht="12.75">
      <c r="A10" s="255"/>
      <c r="B10" s="255"/>
      <c r="C10" s="255"/>
      <c r="D10" s="255"/>
      <c r="E10" s="255"/>
    </row>
    <row r="11" spans="1:5" ht="12.75">
      <c r="A11" s="255"/>
      <c r="B11" s="255"/>
      <c r="C11" s="255"/>
      <c r="D11" s="255"/>
      <c r="E11" s="255"/>
    </row>
    <row r="12" spans="1:7" ht="12.75">
      <c r="A12" s="255"/>
      <c r="B12" s="255"/>
      <c r="F12" s="2462" t="s">
        <v>1371</v>
      </c>
      <c r="G12" s="2462"/>
    </row>
    <row r="13" spans="1:7" ht="15.75">
      <c r="A13" s="266"/>
      <c r="B13" s="267" t="s">
        <v>1432</v>
      </c>
      <c r="C13" s="268" t="s">
        <v>1370</v>
      </c>
      <c r="D13" s="282" t="s">
        <v>1579</v>
      </c>
      <c r="E13" s="268" t="s">
        <v>1331</v>
      </c>
      <c r="F13" s="268" t="s">
        <v>822</v>
      </c>
      <c r="G13" s="268" t="s">
        <v>1353</v>
      </c>
    </row>
    <row r="14" spans="1:7" ht="15.75">
      <c r="A14" s="273"/>
      <c r="B14" s="2461" t="s">
        <v>511</v>
      </c>
      <c r="C14" s="2461"/>
      <c r="D14" s="2461"/>
      <c r="E14" s="268"/>
      <c r="F14" s="306"/>
      <c r="G14" s="306"/>
    </row>
    <row r="15" spans="1:7" ht="15.75">
      <c r="A15" s="275"/>
      <c r="B15" s="283" t="s">
        <v>242</v>
      </c>
      <c r="C15" s="306">
        <f>2bm!B8</f>
        <v>254149</v>
      </c>
      <c r="D15" s="306">
        <f>2bm!C8</f>
        <v>267403.1</v>
      </c>
      <c r="E15" s="306">
        <f>2bm!C8</f>
        <v>267403.1</v>
      </c>
      <c r="F15" s="306">
        <f>2bm!D8</f>
        <v>276276</v>
      </c>
      <c r="G15" s="2059">
        <f>F15/E15</f>
        <v>1.0331817394787122</v>
      </c>
    </row>
    <row r="16" spans="1:7" ht="15.75">
      <c r="A16" s="275"/>
      <c r="B16" s="283" t="s">
        <v>512</v>
      </c>
      <c r="C16" s="306">
        <f>2bm!F8</f>
        <v>69032</v>
      </c>
      <c r="D16" s="284"/>
      <c r="E16" s="306">
        <f>2bm!G8</f>
        <v>72610.70000000001</v>
      </c>
      <c r="F16" s="306">
        <f>2bm!H8</f>
        <v>73808</v>
      </c>
      <c r="G16" s="2059">
        <f aca="true" t="shared" si="0" ref="G16:G28">F16/E16</f>
        <v>1.0164893052952249</v>
      </c>
    </row>
    <row r="17" spans="1:7" ht="15.75">
      <c r="A17" s="275"/>
      <c r="B17" s="283" t="s">
        <v>513</v>
      </c>
      <c r="C17" s="306">
        <f>2bm!J8</f>
        <v>148781</v>
      </c>
      <c r="D17" s="284"/>
      <c r="E17" s="306">
        <f>2bm!K8</f>
        <v>166781</v>
      </c>
      <c r="F17" s="306">
        <f>2bm!L8</f>
        <v>125720</v>
      </c>
      <c r="G17" s="2059">
        <f t="shared" si="0"/>
        <v>0.7538028912166254</v>
      </c>
    </row>
    <row r="18" spans="1:7" ht="15.75">
      <c r="A18" s="275"/>
      <c r="B18" s="283" t="s">
        <v>37</v>
      </c>
      <c r="C18" s="306">
        <f>2bm!N8</f>
        <v>4152</v>
      </c>
      <c r="D18" s="284"/>
      <c r="E18" s="306">
        <f>2bm!O8</f>
        <v>4152</v>
      </c>
      <c r="F18" s="306">
        <f>2bm!P8</f>
        <v>10447</v>
      </c>
      <c r="G18" s="2059">
        <f t="shared" si="0"/>
        <v>2.5161368015414256</v>
      </c>
    </row>
    <row r="19" spans="1:7" ht="15.75">
      <c r="A19" s="275"/>
      <c r="B19" s="283" t="s">
        <v>514</v>
      </c>
      <c r="C19" s="306">
        <v>0</v>
      </c>
      <c r="D19" s="284"/>
      <c r="E19" s="306">
        <f>2bm!W8</f>
        <v>0</v>
      </c>
      <c r="F19" s="306">
        <f>2bm!X8+2bm!T8</f>
        <v>0</v>
      </c>
      <c r="G19" s="2059"/>
    </row>
    <row r="20" spans="1:7" ht="15.75">
      <c r="A20" s="275"/>
      <c r="B20" s="173" t="s">
        <v>1348</v>
      </c>
      <c r="C20" s="306"/>
      <c r="D20" s="284"/>
      <c r="E20" s="306"/>
      <c r="F20" s="306">
        <f>4bm!J19+4bm!J27</f>
        <v>173</v>
      </c>
      <c r="G20" s="2059"/>
    </row>
    <row r="21" spans="1:7" ht="15.75">
      <c r="A21" s="275"/>
      <c r="B21" s="173" t="s">
        <v>2095</v>
      </c>
      <c r="C21" s="306"/>
      <c r="D21" s="284"/>
      <c r="E21" s="306"/>
      <c r="F21" s="306">
        <v>2249</v>
      </c>
      <c r="G21" s="2059"/>
    </row>
    <row r="22" spans="1:7" ht="15.75">
      <c r="A22" s="266"/>
      <c r="B22" s="269" t="s">
        <v>515</v>
      </c>
      <c r="C22" s="277">
        <f>SUM(C15:C19)</f>
        <v>476114</v>
      </c>
      <c r="D22" s="277">
        <f>SUM(D15:D19)</f>
        <v>267403.1</v>
      </c>
      <c r="E22" s="277">
        <f>SUM(E15:E19)</f>
        <v>510946.8</v>
      </c>
      <c r="F22" s="277">
        <f>SUM(F15:F21)</f>
        <v>488673</v>
      </c>
      <c r="G22" s="2059">
        <f t="shared" si="0"/>
        <v>0.9564068118246362</v>
      </c>
    </row>
    <row r="23" spans="1:7" ht="15.75">
      <c r="A23" s="275"/>
      <c r="B23" s="2459"/>
      <c r="C23" s="2459"/>
      <c r="D23" s="2459"/>
      <c r="E23" s="268"/>
      <c r="F23" s="306"/>
      <c r="G23" s="2059"/>
    </row>
    <row r="24" spans="1:7" ht="15.75">
      <c r="A24" s="275"/>
      <c r="B24" s="2460" t="s">
        <v>516</v>
      </c>
      <c r="C24" s="2460"/>
      <c r="D24" s="2460"/>
      <c r="E24" s="268"/>
      <c r="F24" s="306"/>
      <c r="G24" s="2059"/>
    </row>
    <row r="25" spans="1:7" ht="15.75">
      <c r="A25" s="275"/>
      <c r="B25" s="173" t="s">
        <v>517</v>
      </c>
      <c r="C25" s="306">
        <f>1bm!B10</f>
        <v>26957</v>
      </c>
      <c r="D25" s="173"/>
      <c r="E25" s="306">
        <f>1bm!C10</f>
        <v>26957</v>
      </c>
      <c r="F25" s="306">
        <f>1bm!D10</f>
        <v>40747</v>
      </c>
      <c r="G25" s="2059">
        <f t="shared" si="0"/>
        <v>1.5115554401454168</v>
      </c>
    </row>
    <row r="26" spans="1:7" ht="15.75">
      <c r="A26" s="275"/>
      <c r="B26" s="283" t="s">
        <v>39</v>
      </c>
      <c r="C26" s="306">
        <f>1bm!N10+1bm!R10</f>
        <v>27668</v>
      </c>
      <c r="D26" s="284"/>
      <c r="E26" s="306">
        <f>1bm!O10</f>
        <v>27668</v>
      </c>
      <c r="F26" s="306">
        <f>1bm!P10</f>
        <v>42860</v>
      </c>
      <c r="G26" s="2059">
        <f t="shared" si="0"/>
        <v>1.5490819719531588</v>
      </c>
    </row>
    <row r="27" spans="1:7" ht="15.75">
      <c r="A27" s="275"/>
      <c r="B27" s="283" t="s">
        <v>38</v>
      </c>
      <c r="C27" s="306">
        <f>C22-C25-C26</f>
        <v>421489</v>
      </c>
      <c r="D27" s="306">
        <f>D22-D25-D26</f>
        <v>267403.1</v>
      </c>
      <c r="E27" s="306">
        <f>E22-E25-E26</f>
        <v>456321.8</v>
      </c>
      <c r="F27" s="306">
        <v>409555</v>
      </c>
      <c r="G27" s="2059">
        <f t="shared" si="0"/>
        <v>0.8975135529356696</v>
      </c>
    </row>
    <row r="28" spans="1:7" ht="15.75">
      <c r="A28" s="266"/>
      <c r="B28" s="269" t="s">
        <v>520</v>
      </c>
      <c r="C28" s="277">
        <f>SUM(C25,C26,C27)</f>
        <v>476114</v>
      </c>
      <c r="D28" s="277">
        <f>SUM(D25,D26,D27)</f>
        <v>267403.1</v>
      </c>
      <c r="E28" s="277">
        <f>SUM(E25,E26,E27)</f>
        <v>510946.8</v>
      </c>
      <c r="F28" s="277">
        <f>SUM(F25,F26,F27)</f>
        <v>493162</v>
      </c>
      <c r="G28" s="2059">
        <f t="shared" si="0"/>
        <v>0.9651924623072304</v>
      </c>
    </row>
  </sheetData>
  <sheetProtection/>
  <mergeCells count="7">
    <mergeCell ref="B23:D23"/>
    <mergeCell ref="B24:D24"/>
    <mergeCell ref="B14:D14"/>
    <mergeCell ref="A3:G3"/>
    <mergeCell ref="A6:G6"/>
    <mergeCell ref="A7:G7"/>
    <mergeCell ref="F12:G1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PageLayoutView="0" workbookViewId="0" topLeftCell="A1">
      <selection activeCell="B1" sqref="B1:F1"/>
    </sheetView>
  </sheetViews>
  <sheetFormatPr defaultColWidth="9.140625" defaultRowHeight="12.75"/>
  <cols>
    <col min="1" max="1" width="8.57421875" style="0" customWidth="1"/>
    <col min="2" max="2" width="28.421875" style="0" customWidth="1"/>
    <col min="3" max="3" width="15.28125" style="0" customWidth="1"/>
    <col min="4" max="4" width="15.00390625" style="0" customWidth="1"/>
    <col min="5" max="5" width="13.140625" style="0" customWidth="1"/>
  </cols>
  <sheetData>
    <row r="1" spans="1:6" ht="12.75">
      <c r="A1" s="24"/>
      <c r="B1" s="2448" t="s">
        <v>2094</v>
      </c>
      <c r="C1" s="2448"/>
      <c r="D1" s="2448"/>
      <c r="E1" s="2448"/>
      <c r="F1" s="2448"/>
    </row>
    <row r="2" spans="1:5" ht="12.75">
      <c r="A2" s="24"/>
      <c r="B2" s="24"/>
      <c r="C2" s="24"/>
      <c r="D2" s="9"/>
      <c r="E2" s="9"/>
    </row>
    <row r="3" spans="1:6" ht="12.75">
      <c r="A3" s="32"/>
      <c r="B3" s="2419" t="s">
        <v>1345</v>
      </c>
      <c r="C3" s="2419"/>
      <c r="D3" s="2419"/>
      <c r="E3" s="2419"/>
      <c r="F3" s="2419"/>
    </row>
    <row r="4" spans="1:5" ht="12.75">
      <c r="A4" s="24"/>
      <c r="B4" s="24"/>
      <c r="C4" s="24"/>
      <c r="D4" s="24"/>
      <c r="E4" s="24"/>
    </row>
    <row r="5" spans="1:5" ht="12.75">
      <c r="A5" s="24"/>
      <c r="B5" s="24"/>
      <c r="C5" s="24"/>
      <c r="D5" s="24"/>
      <c r="E5" s="24"/>
    </row>
    <row r="6" spans="1:6" ht="18">
      <c r="A6" s="170"/>
      <c r="B6" s="2337" t="s">
        <v>1333</v>
      </c>
      <c r="C6" s="2337"/>
      <c r="D6" s="2337"/>
      <c r="E6" s="2337"/>
      <c r="F6" s="2337"/>
    </row>
    <row r="7" spans="1:6" ht="18">
      <c r="A7" s="170"/>
      <c r="B7" s="2337" t="s">
        <v>1362</v>
      </c>
      <c r="C7" s="2337"/>
      <c r="D7" s="2337"/>
      <c r="E7" s="2337"/>
      <c r="F7" s="2337"/>
    </row>
    <row r="8" spans="1:5" ht="18.75">
      <c r="A8" s="265"/>
      <c r="B8" s="265"/>
      <c r="C8" s="265"/>
      <c r="D8" s="265"/>
      <c r="E8" s="265"/>
    </row>
    <row r="9" spans="1:5" ht="18.75">
      <c r="A9" s="265"/>
      <c r="B9" s="265"/>
      <c r="C9" s="265"/>
      <c r="D9" s="265"/>
      <c r="E9" s="265"/>
    </row>
    <row r="10" spans="1:5" ht="12.75">
      <c r="A10" s="255"/>
      <c r="B10" s="255"/>
      <c r="C10" s="255"/>
      <c r="D10" s="255"/>
      <c r="E10" s="255"/>
    </row>
    <row r="11" spans="1:5" ht="12.75">
      <c r="A11" s="255"/>
      <c r="B11" s="255"/>
      <c r="C11" s="255"/>
      <c r="D11" s="255"/>
      <c r="E11" s="255"/>
    </row>
    <row r="12" spans="1:5" ht="12.75">
      <c r="A12" s="255"/>
      <c r="B12" s="255"/>
      <c r="C12" s="2327" t="s">
        <v>1371</v>
      </c>
      <c r="D12" s="2327"/>
      <c r="E12" s="255"/>
    </row>
    <row r="13" spans="1:6" ht="31.5">
      <c r="A13" s="266"/>
      <c r="B13" s="267" t="s">
        <v>1432</v>
      </c>
      <c r="C13" s="268" t="s">
        <v>1370</v>
      </c>
      <c r="D13" s="282" t="s">
        <v>1579</v>
      </c>
      <c r="E13" s="282" t="s">
        <v>822</v>
      </c>
      <c r="F13" s="282" t="s">
        <v>1353</v>
      </c>
    </row>
    <row r="14" spans="1:6" ht="15.75">
      <c r="A14" s="273"/>
      <c r="B14" s="2461" t="s">
        <v>511</v>
      </c>
      <c r="C14" s="2461"/>
      <c r="D14" s="2461"/>
      <c r="E14" s="273"/>
      <c r="F14" s="5"/>
    </row>
    <row r="15" spans="1:6" ht="15.75">
      <c r="A15" s="275"/>
      <c r="B15" s="283" t="s">
        <v>242</v>
      </c>
      <c r="C15" s="306">
        <f>2bm!B20</f>
        <v>44135</v>
      </c>
      <c r="D15" s="306">
        <f>2bm!C20</f>
        <v>39262.2</v>
      </c>
      <c r="E15" s="2060">
        <f>2bm!D20</f>
        <v>38621</v>
      </c>
      <c r="F15" s="2034">
        <f>E15/D15</f>
        <v>0.983668770471344</v>
      </c>
    </row>
    <row r="16" spans="1:6" ht="15.75">
      <c r="A16" s="275"/>
      <c r="B16" s="283" t="s">
        <v>512</v>
      </c>
      <c r="C16" s="306">
        <f>2bm!F20</f>
        <v>11812</v>
      </c>
      <c r="D16" s="306">
        <f>2bm!G20</f>
        <v>10498.7</v>
      </c>
      <c r="E16" s="2060">
        <f>2bm!H20</f>
        <v>10306</v>
      </c>
      <c r="F16" s="2034">
        <f aca="true" t="shared" si="0" ref="F16:F26">E16/D16</f>
        <v>0.9816453465667178</v>
      </c>
    </row>
    <row r="17" spans="1:6" ht="15.75">
      <c r="A17" s="275"/>
      <c r="B17" s="283" t="s">
        <v>513</v>
      </c>
      <c r="C17" s="306">
        <f>2bm!J20</f>
        <v>37118</v>
      </c>
      <c r="D17" s="306">
        <f>2bm!K20</f>
        <v>34486</v>
      </c>
      <c r="E17" s="2060">
        <f>2bm!L20</f>
        <v>27091</v>
      </c>
      <c r="F17" s="2034">
        <f t="shared" si="0"/>
        <v>0.7855651568752537</v>
      </c>
    </row>
    <row r="18" spans="1:6" ht="15.75">
      <c r="A18" s="275"/>
      <c r="B18" s="283" t="s">
        <v>37</v>
      </c>
      <c r="C18" s="306">
        <f>2bm!N20</f>
        <v>0</v>
      </c>
      <c r="D18" s="306">
        <f>2bm!O20</f>
        <v>0</v>
      </c>
      <c r="E18" s="2060">
        <f>2bm!P20</f>
        <v>61</v>
      </c>
      <c r="F18" s="2034"/>
    </row>
    <row r="19" spans="1:6" ht="15.75">
      <c r="A19" s="275"/>
      <c r="B19" s="173" t="s">
        <v>2095</v>
      </c>
      <c r="C19" s="306">
        <f>2bm!R20+2bm!V20</f>
        <v>0</v>
      </c>
      <c r="D19" s="306">
        <f>2bm!S20+2bm!W20</f>
        <v>0</v>
      </c>
      <c r="E19" s="2060">
        <v>9</v>
      </c>
      <c r="F19" s="2034"/>
    </row>
    <row r="20" spans="1:6" ht="15.75">
      <c r="A20" s="266"/>
      <c r="B20" s="269" t="s">
        <v>515</v>
      </c>
      <c r="C20" s="277">
        <f>SUM(C15:C19)</f>
        <v>93065</v>
      </c>
      <c r="D20" s="285">
        <f>SUM(D15:D19)</f>
        <v>84246.9</v>
      </c>
      <c r="E20" s="2061">
        <f>SUM(E15:E19)</f>
        <v>76088</v>
      </c>
      <c r="F20" s="2034">
        <f t="shared" si="0"/>
        <v>0.9031548935331746</v>
      </c>
    </row>
    <row r="21" spans="1:6" ht="15.75">
      <c r="A21" s="275"/>
      <c r="B21" s="2459"/>
      <c r="C21" s="2459"/>
      <c r="D21" s="2459"/>
      <c r="E21" s="2060"/>
      <c r="F21" s="2034"/>
    </row>
    <row r="22" spans="1:6" ht="15.75">
      <c r="A22" s="275"/>
      <c r="B22" s="2460" t="s">
        <v>516</v>
      </c>
      <c r="C22" s="2460"/>
      <c r="D22" s="2460"/>
      <c r="E22" s="2060"/>
      <c r="F22" s="2034"/>
    </row>
    <row r="23" spans="1:6" ht="15.75">
      <c r="A23" s="275"/>
      <c r="B23" s="173" t="s">
        <v>517</v>
      </c>
      <c r="C23" s="306">
        <f>1bm!B22</f>
        <v>24842</v>
      </c>
      <c r="D23" s="306">
        <f>1bm!C22</f>
        <v>24842</v>
      </c>
      <c r="E23" s="2060">
        <f>1bm!D22</f>
        <v>24718</v>
      </c>
      <c r="F23" s="2034">
        <f t="shared" si="0"/>
        <v>0.9950084534256501</v>
      </c>
    </row>
    <row r="24" spans="1:6" ht="15.75">
      <c r="A24" s="275"/>
      <c r="B24" s="283" t="s">
        <v>39</v>
      </c>
      <c r="C24" s="306">
        <f>1bm!N22</f>
        <v>13457</v>
      </c>
      <c r="D24" s="306">
        <f>1bm!O22</f>
        <v>13457</v>
      </c>
      <c r="E24" s="2060">
        <f>1bm!P22</f>
        <v>3391</v>
      </c>
      <c r="F24" s="2034">
        <f t="shared" si="0"/>
        <v>0.25198781303410867</v>
      </c>
    </row>
    <row r="25" spans="1:6" ht="15.75">
      <c r="A25" s="275"/>
      <c r="B25" s="283" t="s">
        <v>38</v>
      </c>
      <c r="C25" s="306">
        <f>C20-C23-C24</f>
        <v>54766</v>
      </c>
      <c r="D25" s="306">
        <f>D20-D23-D24</f>
        <v>45947.899999999994</v>
      </c>
      <c r="E25" s="2060">
        <v>48077</v>
      </c>
      <c r="F25" s="2034">
        <f t="shared" si="0"/>
        <v>1.0463372645975118</v>
      </c>
    </row>
    <row r="26" spans="1:6" ht="15.75">
      <c r="A26" s="266"/>
      <c r="B26" s="269" t="s">
        <v>520</v>
      </c>
      <c r="C26" s="277">
        <f>SUM(C23,C24,C25)</f>
        <v>93065</v>
      </c>
      <c r="D26" s="277">
        <f>SUM(D23,D24,D25)</f>
        <v>84246.9</v>
      </c>
      <c r="E26" s="2061">
        <f>SUM(E23,E24,E25)</f>
        <v>76186</v>
      </c>
      <c r="F26" s="2034">
        <f t="shared" si="0"/>
        <v>0.9043181410829361</v>
      </c>
    </row>
  </sheetData>
  <sheetProtection/>
  <mergeCells count="8">
    <mergeCell ref="B1:F1"/>
    <mergeCell ref="B3:F3"/>
    <mergeCell ref="B6:F6"/>
    <mergeCell ref="B7:F7"/>
    <mergeCell ref="B21:D21"/>
    <mergeCell ref="B22:D22"/>
    <mergeCell ref="C12:D12"/>
    <mergeCell ref="B14:D14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PageLayoutView="0" workbookViewId="0" topLeftCell="A13">
      <selection activeCell="H25" sqref="H25"/>
    </sheetView>
  </sheetViews>
  <sheetFormatPr defaultColWidth="9.140625" defaultRowHeight="12.75"/>
  <cols>
    <col min="2" max="2" width="32.8515625" style="0" customWidth="1"/>
    <col min="3" max="3" width="19.140625" style="0" customWidth="1"/>
    <col min="4" max="4" width="14.140625" style="0" customWidth="1"/>
    <col min="5" max="5" width="16.140625" style="0" customWidth="1"/>
    <col min="6" max="6" width="16.00390625" style="0" bestFit="1" customWidth="1"/>
  </cols>
  <sheetData>
    <row r="1" spans="2:6" ht="12.75">
      <c r="B1" s="2348" t="s">
        <v>2093</v>
      </c>
      <c r="C1" s="2348"/>
      <c r="D1" s="2348"/>
      <c r="E1" s="2348"/>
      <c r="F1" s="2348"/>
    </row>
    <row r="3" spans="1:6" ht="12.75">
      <c r="A3" s="24"/>
      <c r="B3" s="2419" t="s">
        <v>1345</v>
      </c>
      <c r="C3" s="2419"/>
      <c r="D3" s="2419"/>
      <c r="E3" s="2419"/>
      <c r="F3" s="2419"/>
    </row>
    <row r="4" spans="1:5" ht="12.75">
      <c r="A4" s="24"/>
      <c r="B4" s="24"/>
      <c r="C4" s="24"/>
      <c r="D4" s="24"/>
      <c r="E4" s="24"/>
    </row>
    <row r="5" spans="1:6" ht="18">
      <c r="A5" s="2337" t="s">
        <v>572</v>
      </c>
      <c r="B5" s="2337"/>
      <c r="C5" s="2337"/>
      <c r="D5" s="2337"/>
      <c r="E5" s="2337"/>
      <c r="F5" s="2337"/>
    </row>
    <row r="6" spans="1:6" ht="18">
      <c r="A6" s="2337" t="s">
        <v>1362</v>
      </c>
      <c r="B6" s="2337"/>
      <c r="C6" s="2337"/>
      <c r="D6" s="2337"/>
      <c r="E6" s="2337"/>
      <c r="F6" s="2337"/>
    </row>
    <row r="7" spans="1:5" ht="18.75">
      <c r="A7" s="265"/>
      <c r="B7" s="265"/>
      <c r="C7" s="265"/>
      <c r="D7" s="265"/>
      <c r="E7" s="265"/>
    </row>
    <row r="8" spans="1:5" ht="18.75">
      <c r="A8" s="265"/>
      <c r="B8" s="265"/>
      <c r="C8" s="265"/>
      <c r="D8" s="265"/>
      <c r="E8" s="265"/>
    </row>
    <row r="9" spans="1:5" ht="12.75">
      <c r="A9" s="255"/>
      <c r="B9" s="255"/>
      <c r="C9" s="255"/>
      <c r="D9" s="255"/>
      <c r="E9" s="255"/>
    </row>
    <row r="10" spans="1:5" ht="12.75">
      <c r="A10" s="255"/>
      <c r="B10" s="255"/>
      <c r="C10" s="255"/>
      <c r="D10" s="255"/>
      <c r="E10" s="255"/>
    </row>
    <row r="11" spans="1:6" ht="12.75">
      <c r="A11" s="255"/>
      <c r="B11" s="255"/>
      <c r="D11" s="2062"/>
      <c r="E11" s="255"/>
      <c r="F11" s="2062" t="s">
        <v>1371</v>
      </c>
    </row>
    <row r="12" spans="1:6" ht="31.5">
      <c r="A12" s="266"/>
      <c r="B12" s="267" t="s">
        <v>1432</v>
      </c>
      <c r="C12" s="268" t="s">
        <v>1370</v>
      </c>
      <c r="D12" s="282" t="s">
        <v>1579</v>
      </c>
      <c r="E12" s="282" t="s">
        <v>822</v>
      </c>
      <c r="F12" s="282" t="s">
        <v>1353</v>
      </c>
    </row>
    <row r="13" spans="1:6" ht="15.75">
      <c r="A13" s="273"/>
      <c r="B13" s="2461" t="s">
        <v>511</v>
      </c>
      <c r="C13" s="2461"/>
      <c r="D13" s="2461"/>
      <c r="E13" s="306"/>
      <c r="F13" s="306"/>
    </row>
    <row r="14" spans="1:6" ht="15.75">
      <c r="A14" s="275"/>
      <c r="B14" s="283" t="s">
        <v>242</v>
      </c>
      <c r="C14" s="306">
        <f>2bm!B16</f>
        <v>16915</v>
      </c>
      <c r="D14" s="306">
        <f>2bm!C16</f>
        <v>18003.199999999997</v>
      </c>
      <c r="E14" s="306">
        <f>2bm!D16</f>
        <v>16508</v>
      </c>
      <c r="F14" s="2059">
        <f>E14/D14</f>
        <v>0.9169480981158906</v>
      </c>
    </row>
    <row r="15" spans="1:6" ht="15.75">
      <c r="A15" s="275"/>
      <c r="B15" s="283" t="s">
        <v>512</v>
      </c>
      <c r="C15" s="306">
        <f>2bm!F16</f>
        <v>4515</v>
      </c>
      <c r="D15" s="306">
        <f>2bm!G16</f>
        <v>4808.8</v>
      </c>
      <c r="E15" s="306">
        <f>2bm!H16</f>
        <v>4243</v>
      </c>
      <c r="F15" s="2059">
        <f aca="true" t="shared" si="0" ref="F15:F34">E15/D15</f>
        <v>0.8823407087007153</v>
      </c>
    </row>
    <row r="16" spans="1:6" ht="15.75">
      <c r="A16" s="275"/>
      <c r="B16" s="283" t="s">
        <v>513</v>
      </c>
      <c r="C16" s="306">
        <f>2bm!J16</f>
        <v>13016</v>
      </c>
      <c r="D16" s="306">
        <f>2bm!K16</f>
        <v>13016</v>
      </c>
      <c r="E16" s="306">
        <f>2bm!L16</f>
        <v>14661</v>
      </c>
      <c r="F16" s="2059">
        <f t="shared" si="0"/>
        <v>1.1263829133374308</v>
      </c>
    </row>
    <row r="17" spans="1:6" ht="15.75">
      <c r="A17" s="275"/>
      <c r="B17" s="283" t="s">
        <v>37</v>
      </c>
      <c r="C17" s="306">
        <v>0</v>
      </c>
      <c r="D17" s="306">
        <v>0</v>
      </c>
      <c r="E17" s="306">
        <f>2bm!P16</f>
        <v>0</v>
      </c>
      <c r="F17" s="2059">
        <v>0</v>
      </c>
    </row>
    <row r="18" spans="1:6" ht="15.75">
      <c r="A18" s="275"/>
      <c r="B18" s="283" t="s">
        <v>514</v>
      </c>
      <c r="C18" s="306">
        <v>0</v>
      </c>
      <c r="D18" s="306">
        <v>0</v>
      </c>
      <c r="E18" s="306">
        <f>2bm!X16+2bm!T16</f>
        <v>0</v>
      </c>
      <c r="F18" s="2059">
        <v>0</v>
      </c>
    </row>
    <row r="19" spans="1:6" ht="15.75">
      <c r="A19" s="266"/>
      <c r="B19" s="269" t="s">
        <v>1349</v>
      </c>
      <c r="C19" s="277">
        <f>SUM(C14:C18)</f>
        <v>34446</v>
      </c>
      <c r="D19" s="277">
        <f>SUM(D14:D18)</f>
        <v>35828</v>
      </c>
      <c r="E19" s="277">
        <f>SUM(E14:E18)</f>
        <v>35412</v>
      </c>
      <c r="F19" s="2059">
        <f t="shared" si="0"/>
        <v>0.988388969521045</v>
      </c>
    </row>
    <row r="20" spans="1:6" ht="15.75">
      <c r="A20" s="275"/>
      <c r="B20" s="2459"/>
      <c r="C20" s="2459"/>
      <c r="D20" s="2459"/>
      <c r="E20" s="306"/>
      <c r="F20" s="2059"/>
    </row>
    <row r="21" spans="1:6" s="20" customFormat="1" ht="15.75">
      <c r="A21" s="2025"/>
      <c r="B21" s="173" t="s">
        <v>1347</v>
      </c>
      <c r="C21" s="361">
        <v>0</v>
      </c>
      <c r="D21" s="361">
        <v>0</v>
      </c>
      <c r="E21" s="306">
        <f>4bm!J20</f>
        <v>773</v>
      </c>
      <c r="F21" s="2059">
        <v>0</v>
      </c>
    </row>
    <row r="22" spans="1:6" ht="15.75">
      <c r="A22" s="275"/>
      <c r="B22" s="173" t="s">
        <v>1348</v>
      </c>
      <c r="C22" s="361">
        <v>0</v>
      </c>
      <c r="D22" s="361">
        <v>0</v>
      </c>
      <c r="E22" s="306">
        <v>0</v>
      </c>
      <c r="F22" s="2059">
        <v>0</v>
      </c>
    </row>
    <row r="23" spans="1:6" ht="15.75">
      <c r="A23" s="275"/>
      <c r="B23" s="173" t="s">
        <v>2095</v>
      </c>
      <c r="C23" s="361"/>
      <c r="D23" s="361"/>
      <c r="E23" s="306">
        <v>486</v>
      </c>
      <c r="F23" s="2059"/>
    </row>
    <row r="24" spans="1:6" ht="15.75">
      <c r="A24" s="275"/>
      <c r="B24" s="2026" t="s">
        <v>1350</v>
      </c>
      <c r="C24" s="2027">
        <f>SUM(C19,C22)</f>
        <v>34446</v>
      </c>
      <c r="D24" s="2027">
        <f>SUM(D19+D22)</f>
        <v>35828</v>
      </c>
      <c r="E24" s="277">
        <f>SUM(E19+E22+E21+E23)</f>
        <v>36671</v>
      </c>
      <c r="F24" s="2059">
        <f t="shared" si="0"/>
        <v>1.0235290833984594</v>
      </c>
    </row>
    <row r="25" spans="1:6" ht="15.75">
      <c r="A25" s="275"/>
      <c r="B25" s="2024"/>
      <c r="C25" s="2024"/>
      <c r="D25" s="2024"/>
      <c r="E25" s="306"/>
      <c r="F25" s="2059"/>
    </row>
    <row r="26" spans="1:6" ht="15.75">
      <c r="A26" s="275"/>
      <c r="B26" s="2460" t="s">
        <v>516</v>
      </c>
      <c r="C26" s="2460"/>
      <c r="D26" s="2460"/>
      <c r="E26" s="306"/>
      <c r="F26" s="2059"/>
    </row>
    <row r="27" spans="1:6" ht="15.75">
      <c r="A27" s="275"/>
      <c r="B27" s="173" t="s">
        <v>517</v>
      </c>
      <c r="C27" s="306">
        <f>1bm!B18</f>
        <v>1353</v>
      </c>
      <c r="D27" s="306">
        <f>1bm!C18</f>
        <v>1353</v>
      </c>
      <c r="E27" s="306">
        <f>1bm!D18</f>
        <v>688</v>
      </c>
      <c r="F27" s="2059">
        <f t="shared" si="0"/>
        <v>0.50849963045085</v>
      </c>
    </row>
    <row r="28" spans="1:6" ht="15.75">
      <c r="A28" s="275"/>
      <c r="B28" s="283" t="s">
        <v>39</v>
      </c>
      <c r="C28" s="306">
        <f>1bm!N18</f>
        <v>12150</v>
      </c>
      <c r="D28" s="306">
        <f>1bm!O18</f>
        <v>12150</v>
      </c>
      <c r="E28" s="306">
        <f>1bm!P18</f>
        <v>15800</v>
      </c>
      <c r="F28" s="2059">
        <f t="shared" si="0"/>
        <v>1.300411522633745</v>
      </c>
    </row>
    <row r="29" spans="1:6" ht="15.75">
      <c r="A29" s="275"/>
      <c r="B29" s="283" t="s">
        <v>38</v>
      </c>
      <c r="C29" s="306">
        <f>C19-C27-C28</f>
        <v>20943</v>
      </c>
      <c r="D29" s="306">
        <f>D24-D27-D28</f>
        <v>22325</v>
      </c>
      <c r="E29" s="306">
        <v>23408</v>
      </c>
      <c r="F29" s="2059">
        <f t="shared" si="0"/>
        <v>1.0485106382978724</v>
      </c>
    </row>
    <row r="30" spans="1:6" ht="15.75">
      <c r="A30" s="275"/>
      <c r="B30" s="283" t="s">
        <v>1246</v>
      </c>
      <c r="C30" s="306">
        <v>414</v>
      </c>
      <c r="D30" s="306">
        <v>414</v>
      </c>
      <c r="E30" s="306"/>
      <c r="F30" s="2059">
        <f t="shared" si="0"/>
        <v>0</v>
      </c>
    </row>
    <row r="31" spans="1:6" ht="15.75">
      <c r="A31" s="275"/>
      <c r="B31" s="283" t="s">
        <v>1346</v>
      </c>
      <c r="C31" s="306">
        <v>0</v>
      </c>
      <c r="D31" s="306">
        <v>1382</v>
      </c>
      <c r="E31" s="306"/>
      <c r="F31" s="2059">
        <f t="shared" si="0"/>
        <v>0</v>
      </c>
    </row>
    <row r="32" spans="1:6" ht="15.75">
      <c r="A32" s="275"/>
      <c r="B32" s="283"/>
      <c r="C32" s="306"/>
      <c r="D32" s="306"/>
      <c r="E32" s="306"/>
      <c r="F32" s="2059"/>
    </row>
    <row r="33" spans="1:6" ht="15.75">
      <c r="A33" s="275"/>
      <c r="B33" s="283"/>
      <c r="C33" s="306"/>
      <c r="D33" s="306"/>
      <c r="E33" s="306"/>
      <c r="F33" s="2059"/>
    </row>
    <row r="34" spans="1:6" ht="15.75">
      <c r="A34" s="266"/>
      <c r="B34" s="269" t="s">
        <v>520</v>
      </c>
      <c r="C34" s="277">
        <f>SUM(C27,C28,C29)</f>
        <v>34446</v>
      </c>
      <c r="D34" s="277">
        <f>SUM(D27:D29)</f>
        <v>35828</v>
      </c>
      <c r="E34" s="277">
        <f>SUM(E27:E29)</f>
        <v>39896</v>
      </c>
      <c r="F34" s="2059">
        <f t="shared" si="0"/>
        <v>1.1135424807413197</v>
      </c>
    </row>
  </sheetData>
  <sheetProtection/>
  <mergeCells count="7">
    <mergeCell ref="B26:D26"/>
    <mergeCell ref="B3:F3"/>
    <mergeCell ref="B13:D13"/>
    <mergeCell ref="B1:F1"/>
    <mergeCell ref="A5:F5"/>
    <mergeCell ref="A6:F6"/>
    <mergeCell ref="B20:D20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3">
      <selection activeCell="E2" sqref="E2"/>
    </sheetView>
  </sheetViews>
  <sheetFormatPr defaultColWidth="9.140625" defaultRowHeight="12.75"/>
  <cols>
    <col min="1" max="1" width="3.28125" style="0" customWidth="1"/>
    <col min="2" max="2" width="30.140625" style="0" customWidth="1"/>
    <col min="3" max="3" width="20.28125" style="0" customWidth="1"/>
    <col min="4" max="4" width="8.8515625" style="0" hidden="1" customWidth="1"/>
    <col min="5" max="5" width="18.8515625" style="0" customWidth="1"/>
    <col min="6" max="6" width="14.8515625" style="0" customWidth="1"/>
    <col min="7" max="7" width="12.28125" style="0" customWidth="1"/>
  </cols>
  <sheetData>
    <row r="1" spans="5:7" ht="12.75">
      <c r="E1" s="2348" t="s">
        <v>2092</v>
      </c>
      <c r="F1" s="2348"/>
      <c r="G1" s="2348"/>
    </row>
    <row r="3" spans="1:7" ht="12.75">
      <c r="A3" s="24"/>
      <c r="B3" s="2419" t="s">
        <v>1345</v>
      </c>
      <c r="C3" s="2419"/>
      <c r="D3" s="2419"/>
      <c r="E3" s="2419"/>
      <c r="F3" s="2419"/>
      <c r="G3" s="2419"/>
    </row>
    <row r="4" spans="1:5" ht="12.75">
      <c r="A4" s="24"/>
      <c r="B4" s="24"/>
      <c r="C4" s="24"/>
      <c r="D4" s="24"/>
      <c r="E4" s="24"/>
    </row>
    <row r="5" spans="1:7" ht="18">
      <c r="A5" s="2337" t="s">
        <v>1140</v>
      </c>
      <c r="B5" s="2337"/>
      <c r="C5" s="2337"/>
      <c r="D5" s="2337"/>
      <c r="E5" s="2337"/>
      <c r="F5" s="2337"/>
      <c r="G5" s="2337"/>
    </row>
    <row r="6" spans="1:7" ht="18">
      <c r="A6" s="2337" t="s">
        <v>1362</v>
      </c>
      <c r="B6" s="2337"/>
      <c r="C6" s="2337"/>
      <c r="D6" s="2337"/>
      <c r="E6" s="2337"/>
      <c r="F6" s="2337"/>
      <c r="G6" s="2337"/>
    </row>
    <row r="7" spans="1:5" ht="18.75">
      <c r="A7" s="265"/>
      <c r="B7" s="265"/>
      <c r="C7" s="265"/>
      <c r="D7" s="265"/>
      <c r="E7" s="265"/>
    </row>
    <row r="8" spans="1:5" ht="18.75">
      <c r="A8" s="265"/>
      <c r="B8" s="265"/>
      <c r="C8" s="265"/>
      <c r="D8" s="265"/>
      <c r="E8" s="265"/>
    </row>
    <row r="9" spans="1:5" ht="12.75">
      <c r="A9" s="255"/>
      <c r="B9" s="255"/>
      <c r="C9" s="255"/>
      <c r="D9" s="255"/>
      <c r="E9" s="255"/>
    </row>
    <row r="10" spans="1:5" ht="12.75">
      <c r="A10" s="255"/>
      <c r="B10" s="255"/>
      <c r="C10" s="255"/>
      <c r="D10" s="255"/>
      <c r="E10" s="255"/>
    </row>
    <row r="11" spans="1:5" ht="12.75">
      <c r="A11" s="255"/>
      <c r="B11" s="255"/>
      <c r="C11" s="2327" t="s">
        <v>1371</v>
      </c>
      <c r="D11" s="2327"/>
      <c r="E11" s="255"/>
    </row>
    <row r="12" spans="1:7" ht="31.5">
      <c r="A12" s="266"/>
      <c r="B12" s="267" t="s">
        <v>1432</v>
      </c>
      <c r="C12" s="268" t="s">
        <v>1370</v>
      </c>
      <c r="D12" s="282"/>
      <c r="E12" s="268" t="s">
        <v>1331</v>
      </c>
      <c r="F12" s="268" t="s">
        <v>822</v>
      </c>
      <c r="G12" s="268" t="s">
        <v>1353</v>
      </c>
    </row>
    <row r="13" spans="1:7" ht="15.75">
      <c r="A13" s="273"/>
      <c r="B13" s="2461" t="s">
        <v>511</v>
      </c>
      <c r="C13" s="2461"/>
      <c r="D13" s="2461"/>
      <c r="E13" s="268"/>
      <c r="F13" s="268"/>
      <c r="G13" s="268"/>
    </row>
    <row r="14" spans="1:9" ht="15.75">
      <c r="A14" s="275"/>
      <c r="B14" s="283" t="s">
        <v>242</v>
      </c>
      <c r="C14" s="306">
        <f>'841126-116-Önk. igazgatás'!E49+'841124-114-Gyámhivatal'!E25+'841125-115-Elsőfokú ép. hatóság'!E26+'841112-117-Képviselőtestület'!E12+'841133-adó beszedése'!E20+'841126-166-Többc.munk.sz.'!E17</f>
        <v>121607.8</v>
      </c>
      <c r="D14" s="306">
        <f>'841126-116-Önk. igazgatás'!F49+'841124-114-Gyámhivatal'!F25+'841125-115-Elsőfokú ép. hatóság'!F26+'841112-117-Képviselőtestület'!F12+'841133-adó beszedése'!F20+'841126-166-Többc.munk.sz.'!F17</f>
        <v>0</v>
      </c>
      <c r="E14" s="306">
        <f>2am!C15</f>
        <v>125668.2</v>
      </c>
      <c r="F14" s="306">
        <f>2am!D15</f>
        <v>121455</v>
      </c>
      <c r="G14" s="2070">
        <f>F14/E14</f>
        <v>0.966473618624282</v>
      </c>
      <c r="I14" s="275"/>
    </row>
    <row r="15" spans="1:7" ht="15.75">
      <c r="A15" s="275"/>
      <c r="B15" s="283" t="s">
        <v>512</v>
      </c>
      <c r="C15" s="306">
        <f>'841126-116-Önk. igazgatás'!E52+'841124-114-Gyámhivatal'!E32+'841125-115-Elsőfokú ép. hatóság'!E31+'841112-117-Képviselőtestület'!E18+'841133-adó beszedése'!E24+'841126-166-Többc.munk.sz.'!E20</f>
        <v>30693.116</v>
      </c>
      <c r="D15" s="284"/>
      <c r="E15" s="306">
        <f>2am!G15</f>
        <v>31789</v>
      </c>
      <c r="F15" s="306">
        <f>2am!H15</f>
        <v>30840</v>
      </c>
      <c r="G15" s="2070">
        <f aca="true" t="shared" si="0" ref="G15:G31">F15/E15</f>
        <v>0.9701469061625091</v>
      </c>
    </row>
    <row r="16" spans="1:7" ht="15.75">
      <c r="A16" s="275"/>
      <c r="B16" s="283" t="s">
        <v>513</v>
      </c>
      <c r="C16" s="306">
        <f>'841126-116-Önk. igazgatás'!E137+'841124-114-Gyámhivatal'!E42+'841125-115-Elsőfokú ép. hatóság'!E38+'841112-117-Képviselőtestület'!E41+'841133-adó beszedése'!E30+'841126-166-Többc.munk.sz.'!E35-120</f>
        <v>51331.280000000006</v>
      </c>
      <c r="D16" s="284"/>
      <c r="E16" s="306">
        <f>2am!K15</f>
        <v>51331</v>
      </c>
      <c r="F16" s="306">
        <f>2am!L15</f>
        <v>19085</v>
      </c>
      <c r="G16" s="2070">
        <f t="shared" si="0"/>
        <v>0.37180261440455087</v>
      </c>
    </row>
    <row r="17" spans="1:7" ht="15.75">
      <c r="A17" s="275"/>
      <c r="B17" s="283" t="s">
        <v>37</v>
      </c>
      <c r="C17" s="306">
        <v>0</v>
      </c>
      <c r="D17" s="284"/>
      <c r="E17" s="306">
        <f>2am!O15</f>
        <v>0</v>
      </c>
      <c r="F17" s="306">
        <v>0</v>
      </c>
      <c r="G17" s="2070"/>
    </row>
    <row r="18" spans="1:7" ht="15.75">
      <c r="A18" s="275"/>
      <c r="B18" s="283" t="s">
        <v>514</v>
      </c>
      <c r="C18" s="306">
        <v>0</v>
      </c>
      <c r="D18" s="284"/>
      <c r="E18" s="306">
        <f>2am!S15+2am!W15</f>
        <v>0</v>
      </c>
      <c r="F18" s="306">
        <v>0</v>
      </c>
      <c r="G18" s="2070"/>
    </row>
    <row r="19" spans="1:7" ht="15.75">
      <c r="A19" s="275"/>
      <c r="B19" s="283" t="s">
        <v>249</v>
      </c>
      <c r="C19" s="306">
        <v>0</v>
      </c>
      <c r="D19" s="284"/>
      <c r="E19" s="306">
        <v>0</v>
      </c>
      <c r="F19" s="306">
        <v>618</v>
      </c>
      <c r="G19" s="2070"/>
    </row>
    <row r="20" spans="1:7" ht="15.75">
      <c r="A20" s="275"/>
      <c r="B20" s="283" t="s">
        <v>250</v>
      </c>
      <c r="C20" s="306"/>
      <c r="D20" s="284"/>
      <c r="E20" s="306"/>
      <c r="F20" s="306">
        <v>2241</v>
      </c>
      <c r="G20" s="2070"/>
    </row>
    <row r="21" spans="1:7" ht="15.75">
      <c r="A21" s="266"/>
      <c r="B21" s="269" t="s">
        <v>515</v>
      </c>
      <c r="C21" s="277">
        <f>SUM(C14:C18)</f>
        <v>203632.196</v>
      </c>
      <c r="D21" s="277">
        <f>SUM(D14:D18)</f>
        <v>0</v>
      </c>
      <c r="E21" s="277">
        <f>SUM(E14:E18)</f>
        <v>208788.2</v>
      </c>
      <c r="F21" s="277">
        <f>SUM(F14:F20)</f>
        <v>174239</v>
      </c>
      <c r="G21" s="2070">
        <f t="shared" si="0"/>
        <v>0.8345251312095223</v>
      </c>
    </row>
    <row r="22" spans="1:7" ht="15.75">
      <c r="A22" s="275"/>
      <c r="B22" s="2459"/>
      <c r="C22" s="2459"/>
      <c r="D22" s="2459"/>
      <c r="E22" s="268"/>
      <c r="F22" s="268"/>
      <c r="G22" s="2070"/>
    </row>
    <row r="23" spans="1:7" ht="15.75">
      <c r="A23" s="275"/>
      <c r="B23" s="2460" t="s">
        <v>516</v>
      </c>
      <c r="C23" s="2460"/>
      <c r="D23" s="2460"/>
      <c r="E23" s="268"/>
      <c r="F23" s="268"/>
      <c r="G23" s="2070"/>
    </row>
    <row r="24" spans="1:7" ht="15.75">
      <c r="A24" s="275"/>
      <c r="B24" s="173" t="s">
        <v>1141</v>
      </c>
      <c r="C24" s="306">
        <f>'841126-116-Önk. igazgatás'!E204</f>
        <v>3500</v>
      </c>
      <c r="D24" s="173"/>
      <c r="E24" s="306">
        <f>1am!C12</f>
        <v>3500</v>
      </c>
      <c r="F24" s="306">
        <f>1am!D12</f>
        <v>1855</v>
      </c>
      <c r="G24" s="2070">
        <f t="shared" si="0"/>
        <v>0.53</v>
      </c>
    </row>
    <row r="25" spans="1:7" ht="15.75">
      <c r="A25" s="275"/>
      <c r="B25" s="283" t="s">
        <v>39</v>
      </c>
      <c r="C25" s="306">
        <f>1am!N12</f>
        <v>35559.84120126862</v>
      </c>
      <c r="D25" s="284"/>
      <c r="E25" s="306">
        <f>1am!O12</f>
        <v>35560</v>
      </c>
      <c r="F25" s="306">
        <f>1am!P12</f>
        <v>4853</v>
      </c>
      <c r="G25" s="2070">
        <f t="shared" si="0"/>
        <v>0.13647356580427447</v>
      </c>
    </row>
    <row r="26" spans="1:7" ht="15.75">
      <c r="A26" s="275"/>
      <c r="B26" s="283" t="s">
        <v>38</v>
      </c>
      <c r="C26" s="306">
        <f>C21-C24-C25</f>
        <v>164572.3547987314</v>
      </c>
      <c r="D26" s="306">
        <f>D21-D24-D25</f>
        <v>0</v>
      </c>
      <c r="E26" s="306">
        <f>E21-E24-E25</f>
        <v>169728.2</v>
      </c>
      <c r="F26" s="306">
        <v>168384</v>
      </c>
      <c r="G26" s="2070">
        <f t="shared" si="0"/>
        <v>0.9920802789400935</v>
      </c>
    </row>
    <row r="27" spans="1:7" ht="15.75">
      <c r="A27" s="275"/>
      <c r="B27" s="283" t="s">
        <v>1346</v>
      </c>
      <c r="C27" s="306">
        <v>0</v>
      </c>
      <c r="D27" s="284"/>
      <c r="E27" s="306">
        <v>5156</v>
      </c>
      <c r="F27" s="268"/>
      <c r="G27" s="2070">
        <f t="shared" si="0"/>
        <v>0</v>
      </c>
    </row>
    <row r="28" spans="1:7" ht="15.75">
      <c r="A28" s="275"/>
      <c r="B28" s="283"/>
      <c r="C28" s="306"/>
      <c r="D28" s="284"/>
      <c r="E28" s="268"/>
      <c r="F28" s="268"/>
      <c r="G28" s="2070"/>
    </row>
    <row r="29" spans="1:7" ht="15.75">
      <c r="A29" s="275"/>
      <c r="B29" s="283"/>
      <c r="C29" s="306"/>
      <c r="D29" s="284"/>
      <c r="E29" s="268"/>
      <c r="F29" s="268"/>
      <c r="G29" s="2070"/>
    </row>
    <row r="30" spans="1:7" ht="15.75">
      <c r="A30" s="275"/>
      <c r="B30" s="283"/>
      <c r="C30" s="306"/>
      <c r="D30" s="284"/>
      <c r="E30" s="268"/>
      <c r="F30" s="268"/>
      <c r="G30" s="2070"/>
    </row>
    <row r="31" spans="1:7" ht="15.75">
      <c r="A31" s="266"/>
      <c r="B31" s="269" t="s">
        <v>520</v>
      </c>
      <c r="C31" s="277">
        <f>SUM(C23:C26)</f>
        <v>203632.196</v>
      </c>
      <c r="D31" s="277">
        <f>SUM(D23:D26)</f>
        <v>0</v>
      </c>
      <c r="E31" s="277">
        <f>SUM(E23:E26)</f>
        <v>208788.2</v>
      </c>
      <c r="F31" s="277">
        <f>SUM(F23:F26)</f>
        <v>175092</v>
      </c>
      <c r="G31" s="2070">
        <f t="shared" si="0"/>
        <v>0.8386106111360699</v>
      </c>
    </row>
  </sheetData>
  <sheetProtection/>
  <mergeCells count="8">
    <mergeCell ref="B22:D22"/>
    <mergeCell ref="B23:D23"/>
    <mergeCell ref="C11:D11"/>
    <mergeCell ref="B13:D13"/>
    <mergeCell ref="E1:G1"/>
    <mergeCell ref="B3:G3"/>
    <mergeCell ref="A5:G5"/>
    <mergeCell ref="A6:G6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SheetLayoutView="100" zoomScalePageLayoutView="0" workbookViewId="0" topLeftCell="A4">
      <selection activeCell="E20" sqref="E20"/>
    </sheetView>
  </sheetViews>
  <sheetFormatPr defaultColWidth="9.140625" defaultRowHeight="12.75"/>
  <cols>
    <col min="1" max="1" width="68.00390625" style="0" customWidth="1"/>
    <col min="2" max="2" width="18.00390625" style="0" customWidth="1"/>
    <col min="3" max="3" width="16.7109375" style="0" customWidth="1"/>
    <col min="4" max="4" width="19.00390625" style="0" customWidth="1"/>
    <col min="5" max="5" width="13.140625" style="0" customWidth="1"/>
  </cols>
  <sheetData>
    <row r="1" spans="3:5" ht="12.75">
      <c r="C1" s="1987"/>
      <c r="D1" s="2348" t="s">
        <v>2122</v>
      </c>
      <c r="E1" s="2348"/>
    </row>
    <row r="3" spans="1:5" ht="12.75">
      <c r="A3" s="2419" t="s">
        <v>1342</v>
      </c>
      <c r="B3" s="2419"/>
      <c r="C3" s="2419"/>
      <c r="D3" s="2419"/>
      <c r="E3" s="2419"/>
    </row>
    <row r="5" spans="1:5" ht="27" customHeight="1">
      <c r="A5" s="2463" t="s">
        <v>2121</v>
      </c>
      <c r="B5" s="2463"/>
      <c r="C5" s="2463"/>
      <c r="D5" s="2463"/>
      <c r="E5" s="2463"/>
    </row>
    <row r="7" spans="1:3" ht="12.75">
      <c r="A7" s="1"/>
      <c r="B7" s="889"/>
      <c r="C7" t="s">
        <v>1371</v>
      </c>
    </row>
    <row r="8" spans="1:5" ht="25.5">
      <c r="A8" s="54" t="s">
        <v>1432</v>
      </c>
      <c r="B8" s="16" t="s">
        <v>1370</v>
      </c>
      <c r="C8" s="16" t="s">
        <v>1332</v>
      </c>
      <c r="D8" s="16" t="s">
        <v>822</v>
      </c>
      <c r="E8" s="16" t="s">
        <v>1353</v>
      </c>
    </row>
    <row r="9" spans="1:5" ht="12.75">
      <c r="A9" s="47" t="s">
        <v>1212</v>
      </c>
      <c r="B9" s="35">
        <f>+B10+B11+B12+B13+B14</f>
        <v>1216097.0532987313</v>
      </c>
      <c r="C9" s="35">
        <f>+C10+C11+C12+C13+C14</f>
        <v>1259354.0999999999</v>
      </c>
      <c r="D9" s="50">
        <f>+D10+D11+D12+D13+D14</f>
        <v>1323269</v>
      </c>
      <c r="E9" s="2063">
        <f>D9/C9</f>
        <v>1.0507521276184357</v>
      </c>
    </row>
    <row r="10" spans="1:5" ht="12.75">
      <c r="A10" s="310" t="s">
        <v>1213</v>
      </c>
      <c r="B10" s="14">
        <f>2am!B37</f>
        <v>90259</v>
      </c>
      <c r="C10" s="14">
        <f>2am!C37</f>
        <v>96617</v>
      </c>
      <c r="D10" s="17">
        <f>2am!D37</f>
        <v>97283</v>
      </c>
      <c r="E10" s="2063">
        <f aca="true" t="shared" si="0" ref="E10:E61">D10/C10</f>
        <v>1.0068931968494157</v>
      </c>
    </row>
    <row r="11" spans="1:5" ht="12.75">
      <c r="A11" s="310" t="s">
        <v>1214</v>
      </c>
      <c r="B11" s="14">
        <f>2am!F37</f>
        <v>13332.51</v>
      </c>
      <c r="C11" s="14">
        <f>2am!G37</f>
        <v>15047.2</v>
      </c>
      <c r="D11" s="17">
        <f>2am!H37</f>
        <v>15780</v>
      </c>
      <c r="E11" s="2063">
        <f t="shared" si="0"/>
        <v>1.0487000903822639</v>
      </c>
    </row>
    <row r="12" spans="1:5" ht="12.75">
      <c r="A12" s="310" t="s">
        <v>1216</v>
      </c>
      <c r="B12" s="14">
        <f>2am!J37</f>
        <v>145040.1885</v>
      </c>
      <c r="C12" s="14">
        <f>2am!K37</f>
        <v>147672</v>
      </c>
      <c r="D12" s="17">
        <f>2am!L37</f>
        <v>356354</v>
      </c>
      <c r="E12" s="2063">
        <f t="shared" si="0"/>
        <v>2.4131453491521753</v>
      </c>
    </row>
    <row r="13" spans="1:5" ht="12.75">
      <c r="A13" s="310" t="s">
        <v>1215</v>
      </c>
      <c r="B13" s="14">
        <f>2am!N37</f>
        <v>197208</v>
      </c>
      <c r="C13" s="14">
        <f>2am!O37</f>
        <v>197208</v>
      </c>
      <c r="D13" s="17">
        <f>2am!P37</f>
        <v>136818</v>
      </c>
      <c r="E13" s="2063">
        <f t="shared" si="0"/>
        <v>0.6937751004016064</v>
      </c>
    </row>
    <row r="14" spans="1:5" ht="12.75">
      <c r="A14" s="310" t="s">
        <v>1217</v>
      </c>
      <c r="B14" s="14">
        <f>SUM(B15+B17+B18+B19)</f>
        <v>770257.3547987314</v>
      </c>
      <c r="C14" s="14">
        <f>SUM(C15+C17+C18+C19)</f>
        <v>802809.8999999999</v>
      </c>
      <c r="D14" s="17">
        <f>SUM(D15+D17+D18+D19)</f>
        <v>717034</v>
      </c>
      <c r="E14" s="2063">
        <f t="shared" si="0"/>
        <v>0.8931554032903681</v>
      </c>
    </row>
    <row r="15" spans="1:5" ht="12.75">
      <c r="A15" s="348" t="s">
        <v>1218</v>
      </c>
      <c r="B15" s="14">
        <f>2am!R37+'13m'!C26+'12m'!C29+'11m'!C25+'10m'!C27</f>
        <v>712442.3547987314</v>
      </c>
      <c r="C15" s="14">
        <f>2am!S37+'10m'!E27+'11m'!D25+'12m'!D29+'13m'!E26</f>
        <v>744994.8999999999</v>
      </c>
      <c r="D15" s="17">
        <f>2am!T37+'10m'!F27+'11m'!E25+'12m'!E29+'13m'!F26</f>
        <v>661227</v>
      </c>
      <c r="E15" s="2063">
        <f t="shared" si="0"/>
        <v>0.8875590960421341</v>
      </c>
    </row>
    <row r="16" spans="1:5" s="25" customFormat="1" ht="12.75">
      <c r="A16" s="939" t="s">
        <v>1742</v>
      </c>
      <c r="B16" s="389">
        <f>+'13m'!C26+'12m'!C29+'11m'!C25+'10m'!C27</f>
        <v>661770.3547987314</v>
      </c>
      <c r="C16" s="6">
        <f>+'13m'!E26+'12m'!D29+'11m'!D25+'10m'!E27</f>
        <v>694322.9</v>
      </c>
      <c r="D16" s="39">
        <f>'10m'!F27+'11m'!E25+'12m'!E29+'13m'!F26</f>
        <v>649424</v>
      </c>
      <c r="E16" s="2063">
        <f t="shared" si="0"/>
        <v>0.9353342659445627</v>
      </c>
    </row>
    <row r="17" spans="1:5" ht="12.75">
      <c r="A17" s="348" t="s">
        <v>1219</v>
      </c>
      <c r="B17" s="14">
        <f>2am!V37</f>
        <v>57815</v>
      </c>
      <c r="C17" s="14">
        <f>2am!W37</f>
        <v>57815</v>
      </c>
      <c r="D17" s="17">
        <f>2am!X37</f>
        <v>55807</v>
      </c>
      <c r="E17" s="2063">
        <f t="shared" si="0"/>
        <v>0.9652685289284788</v>
      </c>
    </row>
    <row r="18" spans="1:5" ht="12.75">
      <c r="A18" s="348" t="s">
        <v>1220</v>
      </c>
      <c r="B18" s="14">
        <v>0</v>
      </c>
      <c r="C18" s="14">
        <v>0</v>
      </c>
      <c r="D18" s="17">
        <v>0</v>
      </c>
      <c r="E18" s="2063">
        <v>0</v>
      </c>
    </row>
    <row r="19" spans="1:5" ht="12.75">
      <c r="A19" s="348" t="s">
        <v>1221</v>
      </c>
      <c r="B19" s="14">
        <v>0</v>
      </c>
      <c r="C19" s="14">
        <v>0</v>
      </c>
      <c r="D19" s="17">
        <v>0</v>
      </c>
      <c r="E19" s="2063">
        <v>0</v>
      </c>
    </row>
    <row r="20" spans="1:5" ht="12.75">
      <c r="A20" s="364" t="s">
        <v>1243</v>
      </c>
      <c r="B20" s="35">
        <f>+B21+B22+B23</f>
        <v>1100375.3302</v>
      </c>
      <c r="C20" s="35">
        <f>+C21+C22+C23-1</f>
        <v>1103626</v>
      </c>
      <c r="D20" s="50">
        <f>+D21+D22+D23</f>
        <v>116392</v>
      </c>
      <c r="E20" s="2063">
        <f t="shared" si="0"/>
        <v>0.1054632638230705</v>
      </c>
    </row>
    <row r="21" spans="1:5" ht="12.75">
      <c r="A21" s="923" t="s">
        <v>1244</v>
      </c>
      <c r="B21" s="6">
        <f>+4bm!H8</f>
        <v>224350</v>
      </c>
      <c r="C21" s="6">
        <f>+4bm!I8</f>
        <v>224858</v>
      </c>
      <c r="D21" s="6">
        <f>+4bm!J8-4bm!J19-4bm!J20-4bm!J27</f>
        <v>53657</v>
      </c>
      <c r="E21" s="2063">
        <f t="shared" si="0"/>
        <v>0.23862615517348726</v>
      </c>
    </row>
    <row r="22" spans="1:5" ht="12.75">
      <c r="A22" s="923" t="s">
        <v>1245</v>
      </c>
      <c r="B22" s="6">
        <f>+4bm!H28</f>
        <v>795538.78</v>
      </c>
      <c r="C22" s="6">
        <f>+4bm!I28</f>
        <v>798282</v>
      </c>
      <c r="D22" s="6">
        <f>+4bm!J28</f>
        <v>26718</v>
      </c>
      <c r="E22" s="2063">
        <f t="shared" si="0"/>
        <v>0.03346937548385157</v>
      </c>
    </row>
    <row r="23" spans="1:5" ht="12.75">
      <c r="A23" s="923" t="s">
        <v>316</v>
      </c>
      <c r="B23" s="6">
        <f>SUM(B24:B29)</f>
        <v>80486.5502</v>
      </c>
      <c r="C23" s="6">
        <f>SUM(C24:C29)</f>
        <v>80487</v>
      </c>
      <c r="D23" s="6">
        <f>SUM(D24:D29)</f>
        <v>36017</v>
      </c>
      <c r="E23" s="2063">
        <f t="shared" si="0"/>
        <v>0.44748841427808217</v>
      </c>
    </row>
    <row r="24" spans="1:5" ht="12.75">
      <c r="A24" s="938" t="s">
        <v>317</v>
      </c>
      <c r="B24" s="6">
        <f>+4bm!H47</f>
        <v>0</v>
      </c>
      <c r="C24" s="6">
        <f>+4bm!I47</f>
        <v>0</v>
      </c>
      <c r="D24" s="6">
        <f>+4bm!J47</f>
        <v>30486</v>
      </c>
      <c r="E24" s="2063">
        <v>0</v>
      </c>
    </row>
    <row r="25" spans="1:5" ht="12.75">
      <c r="A25" s="938" t="s">
        <v>318</v>
      </c>
      <c r="B25" s="6">
        <f>+4bm!H49</f>
        <v>1582</v>
      </c>
      <c r="C25" s="6">
        <f>+4bm!I49</f>
        <v>1582</v>
      </c>
      <c r="D25" s="6">
        <f>+4bm!J49</f>
        <v>5011</v>
      </c>
      <c r="E25" s="2063">
        <f t="shared" si="0"/>
        <v>3.1675094816687737</v>
      </c>
    </row>
    <row r="26" spans="1:5" ht="12.75">
      <c r="A26" s="938" t="s">
        <v>319</v>
      </c>
      <c r="B26" s="6">
        <f>+4bm!H54</f>
        <v>0</v>
      </c>
      <c r="C26" s="6">
        <f>+4bm!I54</f>
        <v>0</v>
      </c>
      <c r="D26" s="6">
        <f>+4bm!J54</f>
        <v>0</v>
      </c>
      <c r="E26" s="2063">
        <v>0</v>
      </c>
    </row>
    <row r="27" spans="1:5" ht="12.75">
      <c r="A27" s="938" t="s">
        <v>555</v>
      </c>
      <c r="B27" s="6">
        <f>SUM(4bm!H55)</f>
        <v>21760.9002</v>
      </c>
      <c r="C27" s="6">
        <f>SUM(4bm!I55)</f>
        <v>21761</v>
      </c>
      <c r="D27" s="6">
        <f>SUM(4bm!J55)</f>
        <v>0</v>
      </c>
      <c r="E27" s="2063">
        <f t="shared" si="0"/>
        <v>0</v>
      </c>
    </row>
    <row r="28" spans="1:5" ht="12.75">
      <c r="A28" s="938" t="s">
        <v>556</v>
      </c>
      <c r="B28" s="6">
        <f>SUM(4bm!H57)</f>
        <v>53093.65</v>
      </c>
      <c r="C28" s="6">
        <f>SUM(4bm!I57)</f>
        <v>53094</v>
      </c>
      <c r="D28" s="6">
        <f>SUM(4bm!J57)</f>
        <v>0</v>
      </c>
      <c r="E28" s="2063">
        <f t="shared" si="0"/>
        <v>0</v>
      </c>
    </row>
    <row r="29" spans="1:5" ht="12.75">
      <c r="A29" s="938" t="s">
        <v>557</v>
      </c>
      <c r="B29" s="6">
        <f>SUM(4bm!H59)</f>
        <v>4050</v>
      </c>
      <c r="C29" s="6">
        <f>SUM(4bm!I59)</f>
        <v>4050</v>
      </c>
      <c r="D29" s="6">
        <f>SUM(4bm!J59)</f>
        <v>520</v>
      </c>
      <c r="E29" s="2063">
        <f t="shared" si="0"/>
        <v>0.12839506172839507</v>
      </c>
    </row>
    <row r="30" spans="1:5" ht="12.75">
      <c r="A30" s="47" t="s">
        <v>560</v>
      </c>
      <c r="B30" s="35">
        <v>0</v>
      </c>
      <c r="C30" s="35">
        <v>0</v>
      </c>
      <c r="D30" s="35">
        <v>2774</v>
      </c>
      <c r="E30" s="2063">
        <v>0</v>
      </c>
    </row>
    <row r="31" spans="1:5" ht="12.75">
      <c r="A31" s="9" t="s">
        <v>558</v>
      </c>
      <c r="B31" s="35">
        <f>+B32+B33</f>
        <v>137294.67566666665</v>
      </c>
      <c r="C31" s="35">
        <f>+C32+C33+1</f>
        <v>137295</v>
      </c>
      <c r="D31" s="35">
        <f>+D32+D33</f>
        <v>1091560</v>
      </c>
      <c r="E31" s="2063">
        <f t="shared" si="0"/>
        <v>7.950471612221858</v>
      </c>
    </row>
    <row r="32" spans="1:5" ht="12.75">
      <c r="A32" s="310" t="s">
        <v>1224</v>
      </c>
      <c r="B32" s="14">
        <f>2am!Z37</f>
        <v>57260.182</v>
      </c>
      <c r="C32" s="14">
        <f>2am!AA37</f>
        <v>57260</v>
      </c>
      <c r="D32" s="14">
        <f>2am!AB37</f>
        <v>1016538</v>
      </c>
      <c r="E32" s="2063">
        <f t="shared" si="0"/>
        <v>17.75302130632204</v>
      </c>
    </row>
    <row r="33" spans="1:5" ht="12.75">
      <c r="A33" s="310" t="s">
        <v>320</v>
      </c>
      <c r="B33" s="14">
        <f>+4bm!H61</f>
        <v>80034.49366666666</v>
      </c>
      <c r="C33" s="14">
        <f>+4bm!I61</f>
        <v>80034</v>
      </c>
      <c r="D33" s="14">
        <f>+4bm!J61</f>
        <v>75022</v>
      </c>
      <c r="E33" s="2063">
        <f t="shared" si="0"/>
        <v>0.9373766149386511</v>
      </c>
    </row>
    <row r="34" spans="1:5" ht="12.75">
      <c r="A34" s="47" t="s">
        <v>559</v>
      </c>
      <c r="B34" s="35">
        <f>+B35+B38</f>
        <v>34298</v>
      </c>
      <c r="C34" s="35">
        <f>+C35+C38</f>
        <v>31047</v>
      </c>
      <c r="D34" s="35">
        <f>+D35+D38</f>
        <v>0</v>
      </c>
      <c r="E34" s="2063">
        <f t="shared" si="0"/>
        <v>0</v>
      </c>
    </row>
    <row r="35" spans="1:5" ht="12.75">
      <c r="A35" s="177" t="s">
        <v>1968</v>
      </c>
      <c r="B35" s="6">
        <f>B36+B37</f>
        <v>34098</v>
      </c>
      <c r="C35" s="6">
        <f>C36+C37</f>
        <v>30847</v>
      </c>
      <c r="D35" s="6">
        <f>D36+D37</f>
        <v>0</v>
      </c>
      <c r="E35" s="2063">
        <f t="shared" si="0"/>
        <v>0</v>
      </c>
    </row>
    <row r="36" spans="1:5" ht="12.75">
      <c r="A36" s="939" t="s">
        <v>396</v>
      </c>
      <c r="B36" s="6">
        <f>5m!B15</f>
        <v>100</v>
      </c>
      <c r="C36" s="6">
        <f>5m!C15</f>
        <v>100</v>
      </c>
      <c r="D36" s="6">
        <f>5m!D15</f>
        <v>0</v>
      </c>
      <c r="E36" s="2063">
        <f t="shared" si="0"/>
        <v>0</v>
      </c>
    </row>
    <row r="37" spans="1:5" ht="12.75">
      <c r="A37" s="939" t="s">
        <v>397</v>
      </c>
      <c r="B37" s="6">
        <f>5m!B16</f>
        <v>33998</v>
      </c>
      <c r="C37" s="6">
        <f>5m!C16</f>
        <v>30747</v>
      </c>
      <c r="D37" s="6">
        <f>5m!D16</f>
        <v>0</v>
      </c>
      <c r="E37" s="2063">
        <f t="shared" si="0"/>
        <v>0</v>
      </c>
    </row>
    <row r="38" spans="1:5" ht="12.75">
      <c r="A38" s="177" t="s">
        <v>241</v>
      </c>
      <c r="B38" s="389">
        <f>SUM(B39:B40)</f>
        <v>200</v>
      </c>
      <c r="C38" s="389">
        <f>SUM(C39:C40)</f>
        <v>200</v>
      </c>
      <c r="D38" s="389">
        <f>SUM(D39:D40)</f>
        <v>0</v>
      </c>
      <c r="E38" s="2063">
        <f t="shared" si="0"/>
        <v>0</v>
      </c>
    </row>
    <row r="39" spans="1:5" ht="12.75">
      <c r="A39" s="939" t="s">
        <v>396</v>
      </c>
      <c r="B39" s="6">
        <f>+5m!B19</f>
        <v>100</v>
      </c>
      <c r="C39" s="6">
        <f>+5m!C19</f>
        <v>100</v>
      </c>
      <c r="D39" s="6">
        <f>+5m!D19</f>
        <v>0</v>
      </c>
      <c r="E39" s="2063">
        <f t="shared" si="0"/>
        <v>0</v>
      </c>
    </row>
    <row r="40" spans="1:5" ht="12.75">
      <c r="A40" s="939" t="s">
        <v>397</v>
      </c>
      <c r="B40" s="6">
        <f>5m!B20</f>
        <v>100</v>
      </c>
      <c r="C40" s="6">
        <f>5m!C20</f>
        <v>100</v>
      </c>
      <c r="D40" s="6">
        <f>5m!D20</f>
        <v>0</v>
      </c>
      <c r="E40" s="2063">
        <f t="shared" si="0"/>
        <v>0</v>
      </c>
    </row>
    <row r="41" spans="1:5" ht="15.75">
      <c r="A41" s="180" t="s">
        <v>1969</v>
      </c>
      <c r="B41" s="182">
        <f>+B9+B20+B31+B34</f>
        <v>2488065.0591653977</v>
      </c>
      <c r="C41" s="182">
        <f>+C9+C20+C31+C34</f>
        <v>2531322.0999999996</v>
      </c>
      <c r="D41" s="182">
        <f>+D9+D20+D31+D34+D30</f>
        <v>2533995</v>
      </c>
      <c r="E41" s="2063">
        <f t="shared" si="0"/>
        <v>1.0010559304167574</v>
      </c>
    </row>
    <row r="42" spans="1:5" ht="12.75">
      <c r="A42" s="924"/>
      <c r="B42" s="309"/>
      <c r="C42" s="16"/>
      <c r="D42" s="35"/>
      <c r="E42" s="2063"/>
    </row>
    <row r="43" spans="1:5" ht="12.75" customHeight="1">
      <c r="A43" s="11" t="s">
        <v>1184</v>
      </c>
      <c r="B43" s="35">
        <f>+B44+B45+B46+B47</f>
        <v>1030733</v>
      </c>
      <c r="C43" s="35">
        <f>+C44+C45+C46+C47</f>
        <v>1224640.6400000001</v>
      </c>
      <c r="D43" s="35">
        <f>+D44+D45+D46+D47</f>
        <v>1337113</v>
      </c>
      <c r="E43" s="2063">
        <f t="shared" si="0"/>
        <v>1.0918411134877901</v>
      </c>
    </row>
    <row r="44" spans="1:5" ht="12.75">
      <c r="A44" s="13" t="s">
        <v>398</v>
      </c>
      <c r="B44" s="17">
        <f>1am!B56</f>
        <v>0</v>
      </c>
      <c r="C44" s="50">
        <f>1am!C56</f>
        <v>0</v>
      </c>
      <c r="D44" s="50">
        <f>1am!D56</f>
        <v>13627</v>
      </c>
      <c r="E44" s="2063"/>
    </row>
    <row r="45" spans="1:5" ht="12.75">
      <c r="A45" s="567" t="s">
        <v>399</v>
      </c>
      <c r="B45" s="17">
        <f>1am!F56</f>
        <v>326979</v>
      </c>
      <c r="C45" s="17">
        <f>1am!G56</f>
        <v>326979</v>
      </c>
      <c r="D45" s="17">
        <f>1am!H56</f>
        <v>349316</v>
      </c>
      <c r="E45" s="2063">
        <f t="shared" si="0"/>
        <v>1.0683132555913377</v>
      </c>
    </row>
    <row r="46" spans="1:5" ht="12.75">
      <c r="A46" s="567" t="s">
        <v>400</v>
      </c>
      <c r="B46" s="651">
        <f>1am!J56</f>
        <v>493709</v>
      </c>
      <c r="C46" s="758">
        <f>1bm!K29</f>
        <v>687616.64</v>
      </c>
      <c r="D46" s="758">
        <f>1bm!L29</f>
        <v>687616</v>
      </c>
      <c r="E46" s="2063">
        <f t="shared" si="0"/>
        <v>0.9999990692488187</v>
      </c>
    </row>
    <row r="47" spans="1:5" ht="12.75">
      <c r="A47" s="567" t="s">
        <v>401</v>
      </c>
      <c r="B47" s="17">
        <f>1am!N56+1am!R56</f>
        <v>210045</v>
      </c>
      <c r="C47" s="17">
        <f>1am!O56+1am!S56</f>
        <v>210045</v>
      </c>
      <c r="D47" s="17">
        <f>1am!P56+1am!T56</f>
        <v>286554</v>
      </c>
      <c r="E47" s="2063">
        <f t="shared" si="0"/>
        <v>1.3642505177461972</v>
      </c>
    </row>
    <row r="48" spans="1:5" ht="12.75">
      <c r="A48" s="47" t="s">
        <v>402</v>
      </c>
      <c r="B48" s="50">
        <f>+B49+B50+B51</f>
        <v>1185788.1691943307</v>
      </c>
      <c r="C48" s="50">
        <f>+C49+C50+C51</f>
        <v>1185788.1691943307</v>
      </c>
      <c r="D48" s="50">
        <f>+D49+D50+D51</f>
        <v>235020</v>
      </c>
      <c r="E48" s="2063">
        <f t="shared" si="0"/>
        <v>0.19819728860988844</v>
      </c>
    </row>
    <row r="49" spans="1:5" ht="12.75">
      <c r="A49" s="739" t="s">
        <v>403</v>
      </c>
      <c r="B49" s="758">
        <f>4am!B8</f>
        <v>180628</v>
      </c>
      <c r="C49" s="758">
        <f>4am!C8</f>
        <v>180628</v>
      </c>
      <c r="D49" s="758">
        <f>4am!D8</f>
        <v>22122</v>
      </c>
      <c r="E49" s="2063">
        <f t="shared" si="0"/>
        <v>0.12247270633567332</v>
      </c>
    </row>
    <row r="50" spans="1:5" ht="12.75">
      <c r="A50" s="739" t="s">
        <v>404</v>
      </c>
      <c r="B50" s="758">
        <f>4am!B27</f>
        <v>61223</v>
      </c>
      <c r="C50" s="758">
        <f>4am!C27</f>
        <v>61223</v>
      </c>
      <c r="D50" s="758">
        <f>4am!D27</f>
        <v>34719</v>
      </c>
      <c r="E50" s="2063">
        <f t="shared" si="0"/>
        <v>0.5670907992094474</v>
      </c>
    </row>
    <row r="51" spans="1:5" ht="16.5" customHeight="1">
      <c r="A51" s="749" t="s">
        <v>551</v>
      </c>
      <c r="B51" s="758">
        <f>4am!B36</f>
        <v>943937.1691943307</v>
      </c>
      <c r="C51" s="758">
        <f>4am!C36</f>
        <v>943937.1691943307</v>
      </c>
      <c r="D51" s="758">
        <f>4am!D36</f>
        <v>178179</v>
      </c>
      <c r="E51" s="2063">
        <f t="shared" si="0"/>
        <v>0.18876150427689944</v>
      </c>
    </row>
    <row r="52" spans="1:5" ht="12.75">
      <c r="A52" s="752" t="s">
        <v>552</v>
      </c>
      <c r="B52" s="213">
        <v>0</v>
      </c>
      <c r="C52" s="213">
        <v>0</v>
      </c>
      <c r="D52" s="213">
        <v>610</v>
      </c>
      <c r="E52" s="2063">
        <v>0</v>
      </c>
    </row>
    <row r="53" spans="1:5" ht="12.75">
      <c r="A53" s="11" t="s">
        <v>2097</v>
      </c>
      <c r="B53" s="213">
        <v>0</v>
      </c>
      <c r="C53" s="213">
        <v>0</v>
      </c>
      <c r="D53" s="213">
        <v>998</v>
      </c>
      <c r="E53" s="2063">
        <v>0</v>
      </c>
    </row>
    <row r="54" spans="1:5" ht="12.75">
      <c r="A54" s="11" t="s">
        <v>2096</v>
      </c>
      <c r="B54" s="50">
        <f>+B56+B57+B59+B60</f>
        <v>271544.23529873136</v>
      </c>
      <c r="C54" s="50">
        <f>+C56+C57+C59+C60</f>
        <v>120893.46000000008</v>
      </c>
      <c r="D54" s="758">
        <f>+D56+D57+D59+D60</f>
        <v>904758</v>
      </c>
      <c r="E54" s="2063">
        <f t="shared" si="0"/>
        <v>7.483928411015777</v>
      </c>
    </row>
    <row r="55" spans="1:5" ht="12.75">
      <c r="A55" s="356" t="s">
        <v>477</v>
      </c>
      <c r="B55" s="39"/>
      <c r="C55" s="6"/>
      <c r="D55" s="758"/>
      <c r="E55" s="2063"/>
    </row>
    <row r="56" spans="1:5" ht="14.25" customHeight="1">
      <c r="A56" s="908" t="s">
        <v>478</v>
      </c>
      <c r="B56" s="39">
        <f>+2m!B61</f>
        <v>3021.3</v>
      </c>
      <c r="C56" s="39">
        <f>+2m!C61</f>
        <v>3021</v>
      </c>
      <c r="D56" s="758">
        <f>+2m!D61</f>
        <v>0</v>
      </c>
      <c r="E56" s="2063">
        <f t="shared" si="0"/>
        <v>0</v>
      </c>
    </row>
    <row r="57" spans="1:5" ht="14.25" customHeight="1">
      <c r="A57" s="909" t="s">
        <v>1247</v>
      </c>
      <c r="B57" s="39">
        <f>+2m!B62</f>
        <v>239802.93529873138</v>
      </c>
      <c r="C57" s="758">
        <f>2m!C62</f>
        <v>89152.46000000008</v>
      </c>
      <c r="D57" s="758">
        <f>2m!D62</f>
        <v>889168</v>
      </c>
      <c r="E57" s="2063">
        <f t="shared" si="0"/>
        <v>9.973566629569158</v>
      </c>
    </row>
    <row r="58" spans="1:5" ht="16.5" customHeight="1">
      <c r="A58" s="890" t="s">
        <v>479</v>
      </c>
      <c r="B58" s="39"/>
      <c r="C58" s="39"/>
      <c r="D58" s="758"/>
      <c r="E58" s="2063"/>
    </row>
    <row r="59" spans="1:5" ht="12.75" customHeight="1">
      <c r="A59" s="909" t="s">
        <v>481</v>
      </c>
      <c r="B59" s="39">
        <f>4am!B61</f>
        <v>28720</v>
      </c>
      <c r="C59" s="39">
        <f>4am!C61</f>
        <v>28720</v>
      </c>
      <c r="D59" s="758">
        <f>4am!D61</f>
        <v>0</v>
      </c>
      <c r="E59" s="2063">
        <f t="shared" si="0"/>
        <v>0</v>
      </c>
    </row>
    <row r="60" spans="1:5" ht="25.5" customHeight="1">
      <c r="A60" s="909" t="s">
        <v>482</v>
      </c>
      <c r="B60" s="39">
        <f>+4am!B59</f>
        <v>0</v>
      </c>
      <c r="C60" s="39">
        <v>0</v>
      </c>
      <c r="D60" s="758">
        <f>4am!D59</f>
        <v>15590</v>
      </c>
      <c r="E60" s="2063">
        <v>0</v>
      </c>
    </row>
    <row r="61" spans="1:5" ht="15.75">
      <c r="A61" s="180" t="s">
        <v>1966</v>
      </c>
      <c r="B61" s="940">
        <f>+B43+B48+B54</f>
        <v>2488065.404493062</v>
      </c>
      <c r="C61" s="940">
        <f>+C43+C48+C54</f>
        <v>2531322.269194331</v>
      </c>
      <c r="D61" s="940">
        <f>+D43+D48+D54+D52+D53</f>
        <v>2478499</v>
      </c>
      <c r="E61" s="2063">
        <f t="shared" si="0"/>
        <v>0.97913214376645</v>
      </c>
    </row>
  </sheetData>
  <sheetProtection/>
  <mergeCells count="3">
    <mergeCell ref="D1:E1"/>
    <mergeCell ref="A5:E5"/>
    <mergeCell ref="A3:E3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26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2" max="2" width="6.28125" style="0" customWidth="1"/>
    <col min="3" max="3" width="56.57421875" style="0" bestFit="1" customWidth="1"/>
  </cols>
  <sheetData>
    <row r="2" spans="3:4" ht="12.75">
      <c r="C2" s="2348" t="s">
        <v>1254</v>
      </c>
      <c r="D2" s="2387"/>
    </row>
    <row r="3" spans="3:4" ht="12.75">
      <c r="C3" s="26"/>
      <c r="D3" s="26"/>
    </row>
    <row r="4" spans="1:5" ht="12.75">
      <c r="A4" s="2419" t="s">
        <v>783</v>
      </c>
      <c r="B4" s="2419"/>
      <c r="C4" s="2419"/>
      <c r="D4" s="2419"/>
      <c r="E4" s="32"/>
    </row>
    <row r="6" spans="1:10" ht="15.75">
      <c r="A6" s="2455" t="s">
        <v>1255</v>
      </c>
      <c r="B6" s="2455"/>
      <c r="C6" s="2455"/>
      <c r="D6" s="2455"/>
      <c r="E6" s="294"/>
      <c r="F6" s="294"/>
      <c r="G6" s="294"/>
      <c r="H6" s="294"/>
      <c r="I6" s="294"/>
      <c r="J6" s="294"/>
    </row>
    <row r="9" spans="2:3" s="9" customFormat="1" ht="12.75">
      <c r="B9" s="11" t="s">
        <v>220</v>
      </c>
      <c r="C9" s="46" t="s">
        <v>571</v>
      </c>
    </row>
    <row r="10" spans="2:3" s="9" customFormat="1" ht="12.75">
      <c r="B10" s="2465" t="s">
        <v>1315</v>
      </c>
      <c r="C10" s="2466"/>
    </row>
    <row r="11" spans="2:3" ht="12.75">
      <c r="B11" s="4" t="s">
        <v>1434</v>
      </c>
      <c r="C11" s="737" t="s">
        <v>461</v>
      </c>
    </row>
    <row r="12" spans="2:3" ht="12.75">
      <c r="B12" s="4" t="s">
        <v>1435</v>
      </c>
      <c r="C12" s="27" t="s">
        <v>572</v>
      </c>
    </row>
    <row r="13" spans="2:3" ht="12.75">
      <c r="B13" s="4" t="s">
        <v>1449</v>
      </c>
      <c r="C13" s="27" t="s">
        <v>573</v>
      </c>
    </row>
    <row r="14" spans="2:3" ht="12.75">
      <c r="B14" s="2467" t="s">
        <v>1967</v>
      </c>
      <c r="C14" s="2468"/>
    </row>
    <row r="15" spans="2:3" ht="12.75">
      <c r="B15" s="296" t="s">
        <v>574</v>
      </c>
      <c r="C15" s="297"/>
    </row>
    <row r="16" spans="2:3" ht="12.75">
      <c r="B16" s="4" t="s">
        <v>1434</v>
      </c>
      <c r="C16" s="27" t="s">
        <v>174</v>
      </c>
    </row>
    <row r="17" spans="2:3" ht="12.75">
      <c r="B17" s="4" t="s">
        <v>1435</v>
      </c>
      <c r="C17" s="27" t="s">
        <v>1567</v>
      </c>
    </row>
    <row r="18" spans="2:3" ht="12.75">
      <c r="B18" s="4" t="s">
        <v>1449</v>
      </c>
      <c r="C18" s="27" t="s">
        <v>1568</v>
      </c>
    </row>
    <row r="19" spans="2:3" ht="12.75">
      <c r="B19" s="4" t="s">
        <v>1451</v>
      </c>
      <c r="C19" s="27" t="s">
        <v>1169</v>
      </c>
    </row>
    <row r="20" spans="2:3" ht="12.75">
      <c r="B20" s="4" t="s">
        <v>1452</v>
      </c>
      <c r="C20" s="27" t="s">
        <v>1569</v>
      </c>
    </row>
    <row r="21" spans="2:3" ht="12.75">
      <c r="B21" s="4" t="s">
        <v>1453</v>
      </c>
      <c r="C21" s="27" t="s">
        <v>1570</v>
      </c>
    </row>
    <row r="22" spans="2:3" ht="12.75">
      <c r="B22" s="4" t="s">
        <v>1454</v>
      </c>
      <c r="C22" s="27" t="s">
        <v>1571</v>
      </c>
    </row>
    <row r="23" spans="2:3" ht="12.75">
      <c r="B23" s="4" t="s">
        <v>1455</v>
      </c>
      <c r="C23" s="27" t="s">
        <v>1572</v>
      </c>
    </row>
    <row r="24" spans="2:3" ht="12.75">
      <c r="B24" s="4" t="s">
        <v>1456</v>
      </c>
      <c r="C24" s="27" t="s">
        <v>1573</v>
      </c>
    </row>
    <row r="25" spans="2:3" ht="12.75">
      <c r="B25" s="4" t="s">
        <v>1457</v>
      </c>
      <c r="C25" s="27" t="s">
        <v>1574</v>
      </c>
    </row>
    <row r="26" spans="2:3" ht="12.75">
      <c r="B26" s="2464" t="s">
        <v>575</v>
      </c>
      <c r="C26" s="2464"/>
    </row>
  </sheetData>
  <sheetProtection/>
  <mergeCells count="6">
    <mergeCell ref="B26:C26"/>
    <mergeCell ref="C2:D2"/>
    <mergeCell ref="A6:D6"/>
    <mergeCell ref="B10:C10"/>
    <mergeCell ref="B14:C14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1"/>
  </sheetPr>
  <dimension ref="A2:J28"/>
  <sheetViews>
    <sheetView view="pageBreakPreview" zoomScaleSheetLayoutView="100" zoomScalePageLayoutView="0" workbookViewId="0" topLeftCell="A4">
      <selection activeCell="C25" sqref="C25"/>
    </sheetView>
  </sheetViews>
  <sheetFormatPr defaultColWidth="9.140625" defaultRowHeight="12.75"/>
  <cols>
    <col min="1" max="1" width="9.140625" style="255" customWidth="1"/>
    <col min="2" max="2" width="39.421875" style="255" customWidth="1"/>
    <col min="3" max="3" width="15.57421875" style="255" customWidth="1"/>
    <col min="4" max="4" width="9.57421875" style="255" hidden="1" customWidth="1"/>
    <col min="5" max="5" width="14.00390625" style="255" customWidth="1"/>
    <col min="6" max="16384" width="9.140625" style="255" customWidth="1"/>
  </cols>
  <sheetData>
    <row r="2" spans="1:8" ht="12.75">
      <c r="A2" s="24"/>
      <c r="B2" s="24"/>
      <c r="C2" s="24"/>
      <c r="D2" s="2469" t="s">
        <v>1252</v>
      </c>
      <c r="E2" s="2469"/>
      <c r="G2" s="279"/>
      <c r="H2" s="279"/>
    </row>
    <row r="3" spans="1:10" ht="12.75">
      <c r="A3" s="24"/>
      <c r="B3" s="24"/>
      <c r="C3" s="24"/>
      <c r="D3" s="9"/>
      <c r="E3" s="9"/>
      <c r="F3" s="279"/>
      <c r="G3" s="279"/>
      <c r="H3" s="279"/>
      <c r="I3" s="279"/>
      <c r="J3" s="279"/>
    </row>
    <row r="4" spans="1:10" ht="12.75">
      <c r="A4" s="2419" t="s">
        <v>783</v>
      </c>
      <c r="B4" s="2419"/>
      <c r="C4" s="2419"/>
      <c r="D4" s="2419"/>
      <c r="E4" s="2419"/>
      <c r="F4" s="280"/>
      <c r="I4" s="279"/>
      <c r="J4" s="279"/>
    </row>
    <row r="5" spans="1:5" ht="12.75">
      <c r="A5" s="24"/>
      <c r="B5" s="24"/>
      <c r="C5" s="24"/>
      <c r="D5" s="24"/>
      <c r="E5" s="24"/>
    </row>
    <row r="6" spans="1:5" ht="12.75">
      <c r="A6" s="24"/>
      <c r="B6" s="24"/>
      <c r="C6" s="24"/>
      <c r="D6" s="24"/>
      <c r="E6" s="24"/>
    </row>
    <row r="7" spans="1:10" ht="18.75">
      <c r="A7" s="2337" t="s">
        <v>35</v>
      </c>
      <c r="B7" s="2337"/>
      <c r="C7" s="2337"/>
      <c r="D7" s="2337"/>
      <c r="E7" s="2337"/>
      <c r="F7" s="281"/>
      <c r="G7" s="281"/>
      <c r="H7" s="281"/>
      <c r="I7" s="281"/>
      <c r="J7" s="281"/>
    </row>
    <row r="8" spans="1:10" ht="18.75">
      <c r="A8" s="2337" t="s">
        <v>784</v>
      </c>
      <c r="B8" s="2337"/>
      <c r="C8" s="2337"/>
      <c r="D8" s="2337"/>
      <c r="E8" s="2337"/>
      <c r="F8" s="281"/>
      <c r="G8" s="281"/>
      <c r="H8" s="281"/>
      <c r="I8" s="281"/>
      <c r="J8" s="281"/>
    </row>
    <row r="9" spans="1:10" ht="18.75">
      <c r="A9" s="265"/>
      <c r="B9" s="265"/>
      <c r="C9" s="265"/>
      <c r="D9" s="265"/>
      <c r="E9" s="265"/>
      <c r="F9" s="281"/>
      <c r="G9" s="281"/>
      <c r="H9" s="281"/>
      <c r="I9" s="281"/>
      <c r="J9" s="281"/>
    </row>
    <row r="10" spans="1:10" ht="18.75">
      <c r="A10" s="265"/>
      <c r="B10" s="265"/>
      <c r="C10" s="265"/>
      <c r="D10" s="265"/>
      <c r="E10" s="265"/>
      <c r="F10" s="281"/>
      <c r="G10" s="281"/>
      <c r="H10" s="281"/>
      <c r="I10" s="281"/>
      <c r="J10" s="281"/>
    </row>
    <row r="13" spans="3:4" ht="12.75">
      <c r="C13" s="2327" t="s">
        <v>1371</v>
      </c>
      <c r="D13" s="2327"/>
    </row>
    <row r="14" spans="2:4" s="266" customFormat="1" ht="32.25" customHeight="1">
      <c r="B14" s="267" t="s">
        <v>1432</v>
      </c>
      <c r="C14" s="268" t="s">
        <v>1370</v>
      </c>
      <c r="D14" s="282" t="s">
        <v>1579</v>
      </c>
    </row>
    <row r="15" spans="2:4" s="273" customFormat="1" ht="15.75">
      <c r="B15" s="2461" t="s">
        <v>511</v>
      </c>
      <c r="C15" s="2461"/>
      <c r="D15" s="2461"/>
    </row>
    <row r="16" spans="2:4" s="275" customFormat="1" ht="15.75">
      <c r="B16" s="283" t="s">
        <v>242</v>
      </c>
      <c r="C16" s="306">
        <f>'841127-118-Kisebbségi önk.'!E14</f>
        <v>0</v>
      </c>
      <c r="D16" s="284"/>
    </row>
    <row r="17" spans="2:4" s="275" customFormat="1" ht="15.75">
      <c r="B17" s="283" t="s">
        <v>512</v>
      </c>
      <c r="C17" s="306">
        <f>'841127-118-Kisebbségi önk.'!E21</f>
        <v>0</v>
      </c>
      <c r="D17" s="284"/>
    </row>
    <row r="18" spans="2:4" s="275" customFormat="1" ht="15.75">
      <c r="B18" s="283" t="s">
        <v>513</v>
      </c>
      <c r="C18" s="306">
        <f>'841127-118-Kisebbségi önk.'!E39</f>
        <v>1699.9</v>
      </c>
      <c r="D18" s="284"/>
    </row>
    <row r="19" spans="2:4" s="275" customFormat="1" ht="15.75">
      <c r="B19" s="283" t="s">
        <v>508</v>
      </c>
      <c r="C19" s="306">
        <f>+'841127-118-Kisebbségi önk.'!E47</f>
        <v>100</v>
      </c>
      <c r="D19" s="284"/>
    </row>
    <row r="20" spans="2:4" s="275" customFormat="1" ht="15.75">
      <c r="B20" s="283" t="s">
        <v>514</v>
      </c>
      <c r="C20" s="306">
        <v>0</v>
      </c>
      <c r="D20" s="284"/>
    </row>
    <row r="21" spans="2:4" s="266" customFormat="1" ht="15.75">
      <c r="B21" s="269" t="s">
        <v>515</v>
      </c>
      <c r="C21" s="277">
        <f>SUM(C16:C20)</f>
        <v>1799.9</v>
      </c>
      <c r="D21" s="285">
        <f>SUM(D16:D20)</f>
        <v>0</v>
      </c>
    </row>
    <row r="22" spans="2:4" s="275" customFormat="1" ht="15.75">
      <c r="B22" s="2459"/>
      <c r="C22" s="2459"/>
      <c r="D22" s="2459"/>
    </row>
    <row r="23" spans="2:4" s="275" customFormat="1" ht="15.75">
      <c r="B23" s="2460" t="s">
        <v>516</v>
      </c>
      <c r="C23" s="2460"/>
      <c r="D23" s="2460"/>
    </row>
    <row r="24" spans="2:4" s="275" customFormat="1" ht="15.75">
      <c r="B24" s="173" t="s">
        <v>517</v>
      </c>
      <c r="C24" s="306">
        <v>0</v>
      </c>
      <c r="D24" s="173"/>
    </row>
    <row r="25" spans="2:4" s="275" customFormat="1" ht="15.75">
      <c r="B25" s="283" t="s">
        <v>460</v>
      </c>
      <c r="C25" s="306">
        <f>'841127-118-Kisebbségi önk.'!E80</f>
        <v>1200</v>
      </c>
      <c r="D25" s="284"/>
    </row>
    <row r="26" spans="2:4" s="275" customFormat="1" ht="15.75">
      <c r="B26" s="283" t="s">
        <v>518</v>
      </c>
      <c r="C26" s="306">
        <f>+'841127-118-Kisebbségi önk.'!E79</f>
        <v>600</v>
      </c>
      <c r="D26" s="284"/>
    </row>
    <row r="27" spans="2:4" s="275" customFormat="1" ht="15.75">
      <c r="B27" s="283" t="s">
        <v>519</v>
      </c>
      <c r="C27" s="306">
        <f>'841127-118-Kisebbségi önk.'!E78</f>
        <v>0</v>
      </c>
      <c r="D27" s="284"/>
    </row>
    <row r="28" spans="2:4" s="266" customFormat="1" ht="15.75">
      <c r="B28" s="269" t="s">
        <v>520</v>
      </c>
      <c r="C28" s="277">
        <f>SUM(C24:C27)</f>
        <v>1800</v>
      </c>
      <c r="D28" s="278">
        <f>SUM(D25:D27)</f>
        <v>0</v>
      </c>
    </row>
    <row r="35" s="24" customFormat="1" ht="12.75"/>
    <row r="36" s="24" customFormat="1" ht="12.75"/>
    <row r="37" s="24" customFormat="1" ht="12.75"/>
    <row r="38" s="24" customFormat="1" ht="12.75"/>
  </sheetData>
  <sheetProtection/>
  <mergeCells count="8">
    <mergeCell ref="D2:E2"/>
    <mergeCell ref="B23:D23"/>
    <mergeCell ref="C13:D13"/>
    <mergeCell ref="B15:D15"/>
    <mergeCell ref="B22:D22"/>
    <mergeCell ref="A4:E4"/>
    <mergeCell ref="A7:E7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D7F5F7"/>
  </sheetPr>
  <dimension ref="A2:G31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2" max="2" width="45.00390625" style="0" customWidth="1"/>
    <col min="3" max="3" width="12.00390625" style="0" customWidth="1"/>
  </cols>
  <sheetData>
    <row r="2" spans="3:5" ht="12.75">
      <c r="C2" s="2469" t="s">
        <v>1256</v>
      </c>
      <c r="D2" s="2469"/>
      <c r="E2" s="53"/>
    </row>
    <row r="3" spans="3:5" ht="12.75">
      <c r="C3" s="53"/>
      <c r="D3" s="53"/>
      <c r="E3" s="53"/>
    </row>
    <row r="4" spans="1:5" ht="12.75">
      <c r="A4" s="2419"/>
      <c r="B4" s="2419"/>
      <c r="C4" s="2419"/>
      <c r="D4" s="2419"/>
      <c r="E4" s="53"/>
    </row>
    <row r="6" spans="1:5" ht="15.75">
      <c r="A6" s="2455"/>
      <c r="B6" s="2455"/>
      <c r="C6" s="2455"/>
      <c r="D6" s="2455"/>
      <c r="E6" s="294"/>
    </row>
    <row r="7" spans="1:5" ht="15.75">
      <c r="A7" s="169"/>
      <c r="B7" s="169"/>
      <c r="C7" s="169"/>
      <c r="D7" s="169"/>
      <c r="E7" s="169"/>
    </row>
    <row r="8" spans="1:5" ht="15.75">
      <c r="A8" s="169"/>
      <c r="B8" s="169"/>
      <c r="C8" s="169"/>
      <c r="D8" s="169"/>
      <c r="E8" s="169"/>
    </row>
    <row r="9" spans="1:5" ht="15.75">
      <c r="A9" s="169"/>
      <c r="B9" s="169"/>
      <c r="C9" s="169"/>
      <c r="D9" s="169"/>
      <c r="E9" s="169"/>
    </row>
    <row r="10" ht="12.75">
      <c r="C10" s="42" t="s">
        <v>1371</v>
      </c>
    </row>
    <row r="11" spans="2:3" s="9" customFormat="1" ht="12.75">
      <c r="B11" s="256" t="s">
        <v>526</v>
      </c>
      <c r="C11" s="11"/>
    </row>
    <row r="12" spans="2:3" ht="12.75">
      <c r="B12" s="178" t="s">
        <v>527</v>
      </c>
      <c r="C12" s="6">
        <f>+'841901-Önk saját bevételei'!E12</f>
        <v>93400</v>
      </c>
    </row>
    <row r="13" spans="2:3" ht="12.75">
      <c r="B13" s="178" t="s">
        <v>528</v>
      </c>
      <c r="C13" s="6">
        <f>+'841901-Önk saját bevételei'!E15</f>
        <v>32000</v>
      </c>
    </row>
    <row r="14" spans="2:3" ht="12.75">
      <c r="B14" s="178" t="s">
        <v>529</v>
      </c>
      <c r="C14" s="6">
        <f>+'841901-Önk saját bevételei'!E17</f>
        <v>0</v>
      </c>
    </row>
    <row r="15" spans="2:3" ht="12.75">
      <c r="B15" s="178" t="s">
        <v>530</v>
      </c>
      <c r="C15" s="6">
        <f>+'841901-Önk saját bevételei'!E21</f>
        <v>1500</v>
      </c>
    </row>
    <row r="16" spans="2:3" ht="12.75">
      <c r="B16" s="178" t="s">
        <v>531</v>
      </c>
      <c r="C16" s="6">
        <f>1am!F36</f>
        <v>31425</v>
      </c>
    </row>
    <row r="17" spans="2:3" ht="12.75">
      <c r="B17" s="178" t="s">
        <v>532</v>
      </c>
      <c r="C17" s="6">
        <f>4am!B21</f>
        <v>109</v>
      </c>
    </row>
    <row r="18" spans="2:3" ht="12.75">
      <c r="B18" s="178" t="s">
        <v>1025</v>
      </c>
      <c r="C18" s="6">
        <f>4am!B23</f>
        <v>19050</v>
      </c>
    </row>
    <row r="19" spans="2:3" ht="12.75">
      <c r="B19" s="178" t="s">
        <v>564</v>
      </c>
      <c r="C19" s="6">
        <f>4am!B22</f>
        <v>1979</v>
      </c>
    </row>
    <row r="20" spans="2:3" s="9" customFormat="1" ht="12.75">
      <c r="B20" s="256" t="s">
        <v>565</v>
      </c>
      <c r="C20" s="35">
        <f>SUM(C12:C19)</f>
        <v>179463</v>
      </c>
    </row>
    <row r="21" spans="2:3" ht="12.75">
      <c r="B21" s="348" t="s">
        <v>2149</v>
      </c>
      <c r="C21" s="6">
        <f>4bm!H73-4bm!H72</f>
        <v>30535.346999999994</v>
      </c>
    </row>
    <row r="22" spans="2:3" ht="12.75">
      <c r="B22" s="348" t="s">
        <v>563</v>
      </c>
      <c r="C22" s="6">
        <f>+4bm!H74</f>
        <v>0</v>
      </c>
    </row>
    <row r="23" spans="2:3" ht="12.75">
      <c r="B23" s="178" t="s">
        <v>566</v>
      </c>
      <c r="C23" s="6">
        <f>+4bm!H56</f>
        <v>21760.9002</v>
      </c>
    </row>
    <row r="24" spans="2:3" ht="12.75">
      <c r="B24" s="348" t="s">
        <v>562</v>
      </c>
      <c r="C24" s="6">
        <f>+4bm!H58</f>
        <v>53093.65</v>
      </c>
    </row>
    <row r="25" spans="2:3" ht="12.75">
      <c r="B25" s="348" t="s">
        <v>1311</v>
      </c>
      <c r="C25" s="6">
        <f>'Fejlesztési kiadások'!E61</f>
        <v>1582</v>
      </c>
    </row>
    <row r="26" spans="2:3" s="42" customFormat="1" ht="12.75">
      <c r="B26" s="295" t="s">
        <v>567</v>
      </c>
      <c r="C26" s="44">
        <f>SUM(C21:C25)</f>
        <v>106971.8972</v>
      </c>
    </row>
    <row r="27" spans="2:3" s="9" customFormat="1" ht="12.75">
      <c r="B27" s="256" t="s">
        <v>1234</v>
      </c>
      <c r="C27" s="35">
        <f>+(C20-C26)*0.5</f>
        <v>36245.5514</v>
      </c>
    </row>
    <row r="28" spans="2:3" ht="12.75">
      <c r="B28" s="172" t="s">
        <v>568</v>
      </c>
      <c r="C28" s="6">
        <f>'841126-Finanszírozási műveletek'!D24</f>
        <v>0</v>
      </c>
    </row>
    <row r="29" spans="2:3" s="9" customFormat="1" ht="12.75">
      <c r="B29" s="256" t="s">
        <v>1481</v>
      </c>
      <c r="C29" s="35">
        <f>SUM(C27:C28)</f>
        <v>36245.5514</v>
      </c>
    </row>
    <row r="30" spans="2:7" ht="12.75">
      <c r="B30" s="5" t="s">
        <v>569</v>
      </c>
      <c r="C30" s="6">
        <f>4am!B59</f>
        <v>0</v>
      </c>
      <c r="D30" s="2470"/>
      <c r="E30" s="2471"/>
      <c r="F30" s="2471"/>
      <c r="G30" s="2471"/>
    </row>
    <row r="31" spans="2:7" ht="12.75">
      <c r="B31" s="5" t="s">
        <v>570</v>
      </c>
      <c r="C31" s="6">
        <f>C29-C30</f>
        <v>36245.5514</v>
      </c>
      <c r="D31" s="454"/>
      <c r="E31" s="454"/>
      <c r="F31" s="455"/>
      <c r="G31" s="454"/>
    </row>
  </sheetData>
  <sheetProtection/>
  <mergeCells count="4">
    <mergeCell ref="C2:D2"/>
    <mergeCell ref="A4:D4"/>
    <mergeCell ref="A6:D6"/>
    <mergeCell ref="D30:G3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M262"/>
  <sheetViews>
    <sheetView view="pageBreakPreview" zoomScaleSheetLayoutView="100" zoomScalePageLayoutView="0" workbookViewId="0" topLeftCell="A154">
      <selection activeCell="E165" sqref="E165"/>
    </sheetView>
  </sheetViews>
  <sheetFormatPr defaultColWidth="9.140625" defaultRowHeight="12.75"/>
  <cols>
    <col min="1" max="1" width="16.8515625" style="423" bestFit="1" customWidth="1"/>
    <col min="2" max="2" width="16.8515625" style="422" customWidth="1"/>
    <col min="3" max="3" width="61.57421875" style="423" customWidth="1"/>
    <col min="4" max="4" width="13.00390625" style="431" customWidth="1"/>
    <col min="5" max="5" width="14.00390625" style="423" customWidth="1"/>
    <col min="6" max="6" width="16.140625" style="423" customWidth="1"/>
    <col min="7" max="7" width="15.00390625" style="423" bestFit="1" customWidth="1"/>
    <col min="8" max="8" width="10.57421875" style="423" bestFit="1" customWidth="1"/>
    <col min="9" max="9" width="12.28125" style="423" customWidth="1"/>
    <col min="10" max="13" width="9.28125" style="423" bestFit="1" customWidth="1"/>
    <col min="14" max="16384" width="9.140625" style="423" customWidth="1"/>
  </cols>
  <sheetData>
    <row r="1" ht="15.75">
      <c r="C1" s="437" t="s">
        <v>1</v>
      </c>
    </row>
    <row r="2" ht="15.75">
      <c r="C2" s="437" t="s">
        <v>1030</v>
      </c>
    </row>
    <row r="4" spans="1:8" ht="15">
      <c r="A4" s="2477" t="s">
        <v>1373</v>
      </c>
      <c r="B4" s="2477"/>
      <c r="C4" s="2477"/>
      <c r="D4" s="2477"/>
      <c r="E4" s="2477"/>
      <c r="F4" s="438"/>
      <c r="G4" s="438"/>
      <c r="H4" s="438"/>
    </row>
    <row r="5" spans="1:13" ht="15">
      <c r="A5" s="433"/>
      <c r="B5" s="432"/>
      <c r="E5" s="431" t="s">
        <v>86</v>
      </c>
      <c r="J5" s="431"/>
      <c r="K5" s="431"/>
      <c r="L5" s="431"/>
      <c r="M5" s="431"/>
    </row>
    <row r="6" spans="1:5" ht="15">
      <c r="A6" s="433"/>
      <c r="B6" s="432"/>
      <c r="E6" s="431"/>
    </row>
    <row r="7" spans="1:5" ht="15">
      <c r="A7" s="344" t="s">
        <v>163</v>
      </c>
      <c r="B7" s="476" t="s">
        <v>1088</v>
      </c>
      <c r="C7" s="344" t="s">
        <v>1432</v>
      </c>
      <c r="D7" s="260"/>
      <c r="E7" s="260"/>
    </row>
    <row r="8" spans="1:5" s="424" customFormat="1" ht="15.75">
      <c r="A8" s="366">
        <v>511111</v>
      </c>
      <c r="B8" s="446"/>
      <c r="C8" s="366" t="s">
        <v>87</v>
      </c>
      <c r="D8" s="743">
        <f>Bérek2012!Q44-Bérek2012!Q2-Bérek2012!Q30-Bérek2012!Q6-Bérek2012!Q24-Bérek2012!Q28-Bérek2012!Q4-Bérek2012!Q8-Bérek2012!Q11-Bérek2012!Q27-Bérek2012!Q29-Bérek2012!Q38-Bérek2012!Q5-Bérek2012!Q12-Bérek2012!Q18</f>
        <v>60838800</v>
      </c>
      <c r="E8" s="743">
        <f>(D8)/1000</f>
        <v>60838.8</v>
      </c>
    </row>
    <row r="9" spans="1:5" ht="15">
      <c r="A9" s="366">
        <v>511121</v>
      </c>
      <c r="B9" s="446"/>
      <c r="C9" s="366" t="s">
        <v>88</v>
      </c>
      <c r="D9" s="743">
        <f>Bérek2012!R44-Bérek2012!R2-Bérek2012!R30</f>
        <v>1530720</v>
      </c>
      <c r="E9" s="743">
        <f>+ROUND(D9,-3)/1000</f>
        <v>1531</v>
      </c>
    </row>
    <row r="10" spans="1:5" ht="61.5" customHeight="1">
      <c r="A10" s="366"/>
      <c r="B10" s="446"/>
      <c r="C10" s="761" t="s">
        <v>1310</v>
      </c>
      <c r="D10" s="743"/>
      <c r="E10" s="743"/>
    </row>
    <row r="11" spans="1:5" ht="15">
      <c r="A11" s="366">
        <v>511131</v>
      </c>
      <c r="B11" s="446"/>
      <c r="C11" s="366" t="s">
        <v>90</v>
      </c>
      <c r="D11" s="743">
        <f>Bérek2012!S44-Bérek2012!S2-Bérek2012!S4-Bérek2012!S8-Bérek2012!S11-Bérek2012!S27-Bérek2012!S30</f>
        <v>2411760</v>
      </c>
      <c r="E11" s="743">
        <f>ROUND(D11,-3)/1000</f>
        <v>2412</v>
      </c>
    </row>
    <row r="12" spans="1:5" s="424" customFormat="1" ht="15.75">
      <c r="A12" s="366">
        <v>5111411</v>
      </c>
      <c r="B12" s="446"/>
      <c r="C12" s="468" t="s">
        <v>632</v>
      </c>
      <c r="D12" s="743"/>
      <c r="E12" s="743">
        <f>ROUND(D12,-3)/1000</f>
        <v>0</v>
      </c>
    </row>
    <row r="13" spans="1:5" s="424" customFormat="1" ht="15.75">
      <c r="A13" s="366">
        <v>5111412</v>
      </c>
      <c r="B13" s="446"/>
      <c r="C13" s="468" t="s">
        <v>134</v>
      </c>
      <c r="D13" s="743">
        <f>Bérek2012!U44</f>
        <v>1739088</v>
      </c>
      <c r="E13" s="743">
        <f>ROUND(D13,-3)/1000</f>
        <v>1739</v>
      </c>
    </row>
    <row r="14" spans="1:5" s="424" customFormat="1" ht="15.75">
      <c r="A14" s="366">
        <v>511115</v>
      </c>
      <c r="B14" s="446"/>
      <c r="C14" s="468" t="s">
        <v>1017</v>
      </c>
      <c r="D14" s="743">
        <f>+Bérek2012!Q45</f>
        <v>1920000</v>
      </c>
      <c r="E14" s="743">
        <f>ROUND(D14,-3)/1000</f>
        <v>1920</v>
      </c>
    </row>
    <row r="15" spans="1:5" s="424" customFormat="1" ht="16.5" thickBot="1">
      <c r="A15" s="767"/>
      <c r="B15" s="768"/>
      <c r="C15" s="769" t="s">
        <v>2253</v>
      </c>
      <c r="D15" s="1024">
        <f>Bérek2012!Q50</f>
        <v>2088000</v>
      </c>
      <c r="E15" s="743">
        <f>ROUND(D15,-3)/1000</f>
        <v>2088</v>
      </c>
    </row>
    <row r="16" spans="1:5" s="424" customFormat="1" ht="16.5" thickBot="1">
      <c r="A16" s="762">
        <v>511</v>
      </c>
      <c r="B16" s="763"/>
      <c r="C16" s="764" t="s">
        <v>447</v>
      </c>
      <c r="D16" s="1022">
        <f>SUM(D8:D15)</f>
        <v>70528368</v>
      </c>
      <c r="E16" s="1023">
        <f>SUM(E8:E15)</f>
        <v>70528.8</v>
      </c>
    </row>
    <row r="17" spans="1:5" s="424" customFormat="1" ht="16.5" thickBot="1">
      <c r="A17" s="366">
        <v>512172</v>
      </c>
      <c r="B17" s="446"/>
      <c r="C17" s="468" t="s">
        <v>1095</v>
      </c>
      <c r="D17" s="743"/>
      <c r="E17" s="743"/>
    </row>
    <row r="18" spans="1:5" s="424" customFormat="1" ht="16.5" thickBot="1">
      <c r="A18" s="762">
        <v>512</v>
      </c>
      <c r="B18" s="763"/>
      <c r="C18" s="764" t="s">
        <v>138</v>
      </c>
      <c r="D18" s="1022">
        <f>SUM(D17)</f>
        <v>0</v>
      </c>
      <c r="E18" s="1023">
        <f>+E17</f>
        <v>0</v>
      </c>
    </row>
    <row r="19" spans="1:5" ht="15">
      <c r="A19" s="767">
        <v>51311</v>
      </c>
      <c r="B19" s="768"/>
      <c r="C19" s="769" t="s">
        <v>1405</v>
      </c>
      <c r="D19" s="1024">
        <v>0</v>
      </c>
      <c r="E19" s="743">
        <f>ROUND(D19,-3)/1000</f>
        <v>0</v>
      </c>
    </row>
    <row r="20" spans="1:7" ht="15">
      <c r="A20" s="366">
        <v>513121</v>
      </c>
      <c r="B20" s="446"/>
      <c r="C20" s="366" t="s">
        <v>442</v>
      </c>
      <c r="D20" s="743">
        <f>Bérek2012!W44-Bérek2012!W28</f>
        <v>5283400</v>
      </c>
      <c r="E20" s="743">
        <f>ROUND(D20,-3)/1000</f>
        <v>5283</v>
      </c>
      <c r="G20" s="431"/>
    </row>
    <row r="21" spans="1:7" ht="15">
      <c r="A21" s="366"/>
      <c r="B21" s="446"/>
      <c r="C21" s="366"/>
      <c r="D21" s="743"/>
      <c r="E21" s="743"/>
      <c r="G21" s="431"/>
    </row>
    <row r="22" spans="1:7" ht="15">
      <c r="A22" s="366"/>
      <c r="B22" s="446"/>
      <c r="C22" s="366"/>
      <c r="D22" s="743"/>
      <c r="E22" s="743"/>
      <c r="G22" s="431"/>
    </row>
    <row r="23" spans="1:7" ht="15">
      <c r="A23" s="366">
        <v>513131</v>
      </c>
      <c r="B23" s="446"/>
      <c r="C23" s="366" t="s">
        <v>92</v>
      </c>
      <c r="D23" s="743">
        <v>20000</v>
      </c>
      <c r="E23" s="743">
        <f>+ROUND(D23,-3)/1000</f>
        <v>20</v>
      </c>
      <c r="G23" s="431"/>
    </row>
    <row r="24" spans="1:7" s="424" customFormat="1" ht="15.75">
      <c r="A24" s="366">
        <v>5131911</v>
      </c>
      <c r="B24" s="446"/>
      <c r="C24" s="366" t="s">
        <v>135</v>
      </c>
      <c r="D24" s="758"/>
      <c r="E24" s="758"/>
      <c r="G24" s="428"/>
    </row>
    <row r="25" spans="1:7" s="424" customFormat="1" ht="16.5" thickBot="1">
      <c r="A25" s="366">
        <v>5131912</v>
      </c>
      <c r="B25" s="446"/>
      <c r="C25" s="366" t="s">
        <v>1199</v>
      </c>
      <c r="D25" s="758">
        <f>38650*7+38650*3*2</f>
        <v>502450</v>
      </c>
      <c r="E25" s="758">
        <f>+ROUND(D25,-3)/1000</f>
        <v>502</v>
      </c>
      <c r="G25" s="428"/>
    </row>
    <row r="26" spans="1:7" s="424" customFormat="1" ht="16.5" thickBot="1">
      <c r="A26" s="762">
        <v>513</v>
      </c>
      <c r="B26" s="763"/>
      <c r="C26" s="771" t="s">
        <v>139</v>
      </c>
      <c r="D26" s="765">
        <f>SUM(D19:D25)</f>
        <v>5805850</v>
      </c>
      <c r="E26" s="766">
        <f>SUM(E19:E25)</f>
        <v>5805</v>
      </c>
      <c r="G26" s="428"/>
    </row>
    <row r="27" spans="1:7" ht="15">
      <c r="A27" s="366">
        <v>514131</v>
      </c>
      <c r="B27" s="446"/>
      <c r="C27" s="366" t="s">
        <v>96</v>
      </c>
      <c r="D27" s="743">
        <f>+(20+26+55)*9*20*12</f>
        <v>218160</v>
      </c>
      <c r="E27" s="743">
        <f>ROUND(D27,-3)/1000</f>
        <v>218</v>
      </c>
      <c r="G27" s="431"/>
    </row>
    <row r="28" spans="1:7" ht="15">
      <c r="A28" s="366"/>
      <c r="B28" s="446"/>
      <c r="C28" s="366" t="s">
        <v>6</v>
      </c>
      <c r="D28" s="743"/>
      <c r="E28" s="743"/>
      <c r="G28" s="431"/>
    </row>
    <row r="29" spans="1:7" ht="15">
      <c r="A29" s="366">
        <v>514141</v>
      </c>
      <c r="B29" s="446"/>
      <c r="C29" s="366" t="s">
        <v>4</v>
      </c>
      <c r="D29" s="743">
        <f>Bérek2012!Z44-12*150000-125000</f>
        <v>4350000</v>
      </c>
      <c r="E29" s="743">
        <f>ROUND(D29,-3)/1000</f>
        <v>4350</v>
      </c>
      <c r="G29" s="431"/>
    </row>
    <row r="30" spans="1:7" ht="15.75" thickBot="1">
      <c r="A30" s="366">
        <v>514191</v>
      </c>
      <c r="B30" s="446"/>
      <c r="C30" s="366" t="s">
        <v>1268</v>
      </c>
      <c r="D30" s="743">
        <f>20*38650*0.3</f>
        <v>231900</v>
      </c>
      <c r="E30" s="743">
        <f>ROUND(D30,-3)/1000</f>
        <v>232</v>
      </c>
      <c r="G30" s="431"/>
    </row>
    <row r="31" spans="1:7" ht="15.75" thickBot="1">
      <c r="A31" s="762">
        <v>514</v>
      </c>
      <c r="B31" s="763"/>
      <c r="C31" s="771" t="s">
        <v>140</v>
      </c>
      <c r="D31" s="765">
        <f>SUM(D27:D30)</f>
        <v>4800060</v>
      </c>
      <c r="E31" s="766">
        <f>SUM(E27:E30)</f>
        <v>4800</v>
      </c>
      <c r="G31" s="431"/>
    </row>
    <row r="32" spans="1:7" ht="15">
      <c r="A32" s="366">
        <v>5151511</v>
      </c>
      <c r="B32" s="446"/>
      <c r="C32" s="739" t="s">
        <v>136</v>
      </c>
      <c r="D32" s="758">
        <v>120000</v>
      </c>
      <c r="E32" s="758">
        <f>ROUND(D32,-3)/1000</f>
        <v>120</v>
      </c>
      <c r="G32" s="431"/>
    </row>
    <row r="33" spans="1:7" s="424" customFormat="1" ht="15.75">
      <c r="A33" s="461"/>
      <c r="B33" s="461"/>
      <c r="C33" s="461" t="s">
        <v>633</v>
      </c>
      <c r="D33" s="462"/>
      <c r="E33" s="461"/>
      <c r="G33" s="428"/>
    </row>
    <row r="34" spans="1:7" s="424" customFormat="1" ht="16.5" thickBot="1">
      <c r="A34" s="366">
        <v>5151512</v>
      </c>
      <c r="B34" s="446"/>
      <c r="C34" s="739" t="s">
        <v>137</v>
      </c>
      <c r="D34" s="758">
        <f>2*40000</f>
        <v>80000</v>
      </c>
      <c r="E34" s="758">
        <f>ROUND(D34,-3)/1000</f>
        <v>80</v>
      </c>
      <c r="G34" s="428"/>
    </row>
    <row r="35" spans="1:7" s="424" customFormat="1" ht="16.5" thickBot="1">
      <c r="A35" s="762">
        <v>515</v>
      </c>
      <c r="B35" s="763"/>
      <c r="C35" s="772" t="s">
        <v>142</v>
      </c>
      <c r="D35" s="765">
        <f>SUM(D32:D34)</f>
        <v>200000</v>
      </c>
      <c r="E35" s="766">
        <f>E32+E34</f>
        <v>200</v>
      </c>
      <c r="G35" s="428"/>
    </row>
    <row r="36" spans="1:8" s="424" customFormat="1" ht="15.75">
      <c r="A36" s="366">
        <v>516111</v>
      </c>
      <c r="B36" s="446"/>
      <c r="C36" s="366" t="s">
        <v>122</v>
      </c>
      <c r="D36" s="758"/>
      <c r="E36" s="758">
        <v>0</v>
      </c>
      <c r="G36" s="423"/>
      <c r="H36" s="423"/>
    </row>
    <row r="37" spans="1:7" s="424" customFormat="1" ht="15.75">
      <c r="A37" s="366"/>
      <c r="B37" s="446"/>
      <c r="C37" s="366" t="s">
        <v>133</v>
      </c>
      <c r="D37" s="758"/>
      <c r="E37" s="758"/>
      <c r="G37" s="428"/>
    </row>
    <row r="38" spans="1:7" s="424" customFormat="1" ht="16.5" thickBot="1">
      <c r="A38" s="773"/>
      <c r="B38" s="774"/>
      <c r="C38" s="773"/>
      <c r="D38" s="755"/>
      <c r="E38" s="54"/>
      <c r="G38" s="428"/>
    </row>
    <row r="39" spans="1:7" s="424" customFormat="1" ht="16.5" thickBot="1">
      <c r="A39" s="762">
        <v>516</v>
      </c>
      <c r="B39" s="763"/>
      <c r="C39" s="771" t="s">
        <v>143</v>
      </c>
      <c r="D39" s="765">
        <f>SUM(D36:D38)</f>
        <v>0</v>
      </c>
      <c r="E39" s="766">
        <f>E36</f>
        <v>0</v>
      </c>
      <c r="G39" s="428"/>
    </row>
    <row r="40" spans="1:7" s="424" customFormat="1" ht="15.75">
      <c r="A40" s="366">
        <v>52213</v>
      </c>
      <c r="B40" s="446"/>
      <c r="C40" s="366" t="s">
        <v>1384</v>
      </c>
      <c r="D40" s="758"/>
      <c r="E40" s="758">
        <v>0</v>
      </c>
      <c r="G40" s="428"/>
    </row>
    <row r="41" spans="1:7" ht="15">
      <c r="A41" s="775">
        <v>5221</v>
      </c>
      <c r="B41" s="774"/>
      <c r="C41" s="739" t="s">
        <v>1274</v>
      </c>
      <c r="D41" s="741"/>
      <c r="E41" s="741">
        <f aca="true" t="shared" si="0" ref="E41:E47">+ROUND(D41,-3)/1000</f>
        <v>0</v>
      </c>
      <c r="G41" s="431"/>
    </row>
    <row r="42" spans="1:7" ht="15">
      <c r="A42" s="430">
        <v>522113</v>
      </c>
      <c r="B42" s="446"/>
      <c r="C42" s="366" t="s">
        <v>179</v>
      </c>
      <c r="D42" s="741">
        <v>100000</v>
      </c>
      <c r="E42" s="741">
        <f t="shared" si="0"/>
        <v>100</v>
      </c>
      <c r="G42" s="431"/>
    </row>
    <row r="43" spans="1:7" ht="15">
      <c r="A43" s="430">
        <v>522114</v>
      </c>
      <c r="B43" s="446"/>
      <c r="C43" s="366" t="s">
        <v>1269</v>
      </c>
      <c r="D43" s="741">
        <v>200000</v>
      </c>
      <c r="E43" s="741">
        <f t="shared" si="0"/>
        <v>200</v>
      </c>
      <c r="G43" s="431"/>
    </row>
    <row r="44" spans="1:7" ht="15">
      <c r="A44" s="430"/>
      <c r="B44" s="446"/>
      <c r="C44" s="366"/>
      <c r="D44" s="741"/>
      <c r="E44" s="741">
        <f t="shared" si="0"/>
        <v>0</v>
      </c>
      <c r="G44" s="431"/>
    </row>
    <row r="45" spans="1:7" s="424" customFormat="1" ht="15.75">
      <c r="A45" s="366">
        <v>52218</v>
      </c>
      <c r="B45" s="446"/>
      <c r="C45" s="366" t="s">
        <v>1176</v>
      </c>
      <c r="D45" s="363">
        <f>Bérek2012!Y51+Bérek2012!Z51</f>
        <v>1613280</v>
      </c>
      <c r="E45" s="363">
        <f t="shared" si="0"/>
        <v>1613</v>
      </c>
      <c r="G45" s="428"/>
    </row>
    <row r="46" spans="1:7" s="424" customFormat="1" ht="15.75">
      <c r="A46" s="366"/>
      <c r="B46" s="446"/>
      <c r="C46" s="366" t="s">
        <v>5</v>
      </c>
      <c r="D46" s="741"/>
      <c r="E46" s="741">
        <f t="shared" si="0"/>
        <v>0</v>
      </c>
      <c r="G46" s="428"/>
    </row>
    <row r="47" spans="1:7" s="424" customFormat="1" ht="16.5" thickBot="1">
      <c r="A47" s="366">
        <v>52219</v>
      </c>
      <c r="B47" s="446"/>
      <c r="C47" s="366" t="s">
        <v>1270</v>
      </c>
      <c r="D47" s="741">
        <f>+Bérek2012!Q52</f>
        <v>600000</v>
      </c>
      <c r="E47" s="741">
        <f t="shared" si="0"/>
        <v>600</v>
      </c>
      <c r="G47" s="428"/>
    </row>
    <row r="48" spans="1:7" s="424" customFormat="1" ht="16.5" thickBot="1">
      <c r="A48" s="762">
        <v>52</v>
      </c>
      <c r="B48" s="763"/>
      <c r="C48" s="771" t="s">
        <v>144</v>
      </c>
      <c r="D48" s="765">
        <f>SUM(D40:D47)</f>
        <v>2513280</v>
      </c>
      <c r="E48" s="766">
        <f>SUM(E40:E47)</f>
        <v>2513</v>
      </c>
      <c r="G48" s="428"/>
    </row>
    <row r="49" spans="1:7" s="424" customFormat="1" ht="16.5" thickBot="1">
      <c r="A49" s="2478" t="s">
        <v>169</v>
      </c>
      <c r="B49" s="2479"/>
      <c r="C49" s="2479"/>
      <c r="D49" s="2480"/>
      <c r="E49" s="496">
        <f>E16+E18+E26+E31+E35+E39+E48</f>
        <v>83846.8</v>
      </c>
      <c r="G49" s="428"/>
    </row>
    <row r="50" spans="1:7" ht="15">
      <c r="A50" s="344"/>
      <c r="B50" s="476"/>
      <c r="C50" s="344"/>
      <c r="D50" s="260"/>
      <c r="E50" s="260"/>
      <c r="G50" s="431"/>
    </row>
    <row r="51" spans="1:7" ht="15.75" thickBot="1">
      <c r="A51" s="54">
        <v>53112</v>
      </c>
      <c r="B51" s="49"/>
      <c r="C51" s="54" t="s">
        <v>1068</v>
      </c>
      <c r="D51" s="758"/>
      <c r="E51" s="213">
        <f>(E16+E18+E48+E39+E20)*0.27</f>
        <v>21147.696000000004</v>
      </c>
      <c r="G51" s="431"/>
    </row>
    <row r="52" spans="1:7" ht="16.5" thickBot="1">
      <c r="A52" s="2478" t="s">
        <v>1386</v>
      </c>
      <c r="B52" s="2479"/>
      <c r="C52" s="2479"/>
      <c r="D52" s="2479"/>
      <c r="E52" s="495">
        <f>+E51</f>
        <v>21147.696000000004</v>
      </c>
      <c r="G52" s="431"/>
    </row>
    <row r="53" spans="1:7" ht="15">
      <c r="A53" s="493"/>
      <c r="B53" s="494"/>
      <c r="C53" s="493"/>
      <c r="D53" s="492"/>
      <c r="E53" s="492"/>
      <c r="G53" s="431"/>
    </row>
    <row r="54" spans="1:7" ht="15">
      <c r="A54" s="366"/>
      <c r="B54" s="446"/>
      <c r="C54" s="366"/>
      <c r="D54" s="758"/>
      <c r="E54" s="758"/>
      <c r="G54" s="431"/>
    </row>
    <row r="55" spans="1:7" ht="15">
      <c r="A55" s="54">
        <v>5421</v>
      </c>
      <c r="B55" s="49"/>
      <c r="C55" s="752" t="s">
        <v>2083</v>
      </c>
      <c r="D55" s="758">
        <f>SUM(D56)</f>
        <v>10000</v>
      </c>
      <c r="E55" s="213">
        <f>ROUND(D55,-3)/1000</f>
        <v>10</v>
      </c>
      <c r="G55" s="431"/>
    </row>
    <row r="56" spans="1:7" ht="15">
      <c r="A56" s="54"/>
      <c r="B56" s="49"/>
      <c r="C56" s="739" t="s">
        <v>623</v>
      </c>
      <c r="D56" s="758">
        <v>10000</v>
      </c>
      <c r="E56" s="758">
        <f>ROUND(D56,-3)/1000</f>
        <v>10</v>
      </c>
      <c r="G56" s="431"/>
    </row>
    <row r="57" spans="1:7" ht="15">
      <c r="A57" s="54">
        <v>5431</v>
      </c>
      <c r="B57" s="49"/>
      <c r="C57" s="752" t="s">
        <v>1387</v>
      </c>
      <c r="D57" s="213">
        <f>SUM(D58)</f>
        <v>3532000</v>
      </c>
      <c r="E57" s="213">
        <f>SUM(E58)</f>
        <v>3532</v>
      </c>
      <c r="G57" s="431"/>
    </row>
    <row r="58" spans="1:7" ht="15">
      <c r="A58" s="54"/>
      <c r="B58" s="49"/>
      <c r="C58" s="739" t="s">
        <v>591</v>
      </c>
      <c r="D58" s="1005">
        <v>3532000</v>
      </c>
      <c r="E58" s="758">
        <f>ROUND(D58,-3)/1000</f>
        <v>3532</v>
      </c>
      <c r="G58" s="431"/>
    </row>
    <row r="59" spans="1:7" ht="15">
      <c r="A59" s="54">
        <v>5441</v>
      </c>
      <c r="B59" s="49"/>
      <c r="C59" s="54" t="s">
        <v>2084</v>
      </c>
      <c r="D59" s="213">
        <f>SUM(D60:D72)</f>
        <v>723947</v>
      </c>
      <c r="E59" s="213">
        <f>ROUND(D59,-3)/1000</f>
        <v>724</v>
      </c>
      <c r="G59" s="431"/>
    </row>
    <row r="60" spans="1:7" ht="15">
      <c r="A60" s="54"/>
      <c r="B60" s="49"/>
      <c r="C60" s="739" t="s">
        <v>1824</v>
      </c>
      <c r="D60" s="758">
        <v>89858</v>
      </c>
      <c r="E60" s="758">
        <f aca="true" t="shared" si="1" ref="E60:E71">ROUND(D60,-3)/1000</f>
        <v>90</v>
      </c>
      <c r="G60" s="431"/>
    </row>
    <row r="61" spans="1:7" ht="15">
      <c r="A61" s="54"/>
      <c r="B61" s="49"/>
      <c r="C61" s="739" t="s">
        <v>1826</v>
      </c>
      <c r="D61" s="758">
        <v>48720</v>
      </c>
      <c r="E61" s="758">
        <f t="shared" si="1"/>
        <v>49</v>
      </c>
      <c r="G61" s="431"/>
    </row>
    <row r="62" spans="1:7" ht="15">
      <c r="A62" s="54"/>
      <c r="B62" s="49"/>
      <c r="C62" s="739" t="s">
        <v>1827</v>
      </c>
      <c r="D62" s="758">
        <v>11000</v>
      </c>
      <c r="E62" s="758">
        <f t="shared" si="1"/>
        <v>11</v>
      </c>
      <c r="G62" s="431"/>
    </row>
    <row r="63" spans="1:7" ht="15">
      <c r="A63" s="54"/>
      <c r="B63" s="49"/>
      <c r="C63" s="739" t="s">
        <v>1828</v>
      </c>
      <c r="D63" s="758">
        <v>28000</v>
      </c>
      <c r="E63" s="758">
        <f t="shared" si="1"/>
        <v>28</v>
      </c>
      <c r="G63" s="431"/>
    </row>
    <row r="64" spans="1:7" ht="15">
      <c r="A64" s="54"/>
      <c r="B64" s="49"/>
      <c r="C64" s="739" t="s">
        <v>606</v>
      </c>
      <c r="D64" s="758"/>
      <c r="E64" s="758">
        <f t="shared" si="1"/>
        <v>0</v>
      </c>
      <c r="G64" s="431"/>
    </row>
    <row r="65" spans="1:7" ht="15">
      <c r="A65" s="54"/>
      <c r="B65" s="49"/>
      <c r="C65" s="739" t="s">
        <v>621</v>
      </c>
      <c r="D65" s="758">
        <v>20943</v>
      </c>
      <c r="E65" s="758">
        <f t="shared" si="1"/>
        <v>21</v>
      </c>
      <c r="G65" s="431"/>
    </row>
    <row r="66" spans="1:7" ht="15">
      <c r="A66" s="54"/>
      <c r="B66" s="49"/>
      <c r="C66" s="739" t="s">
        <v>1825</v>
      </c>
      <c r="D66" s="758">
        <v>52800</v>
      </c>
      <c r="E66" s="758">
        <f t="shared" si="1"/>
        <v>53</v>
      </c>
      <c r="G66" s="431"/>
    </row>
    <row r="67" spans="1:7" ht="15">
      <c r="A67" s="54"/>
      <c r="B67" s="49"/>
      <c r="C67" s="739" t="s">
        <v>1829</v>
      </c>
      <c r="D67" s="758">
        <v>193700</v>
      </c>
      <c r="E67" s="758">
        <f t="shared" si="1"/>
        <v>194</v>
      </c>
      <c r="G67" s="431"/>
    </row>
    <row r="68" spans="1:7" ht="15">
      <c r="A68" s="54"/>
      <c r="B68" s="49"/>
      <c r="C68" s="739" t="s">
        <v>2254</v>
      </c>
      <c r="D68" s="758">
        <v>111024</v>
      </c>
      <c r="E68" s="758">
        <f t="shared" si="1"/>
        <v>111</v>
      </c>
      <c r="G68" s="431"/>
    </row>
    <row r="69" spans="1:7" ht="15">
      <c r="A69" s="54"/>
      <c r="B69" s="49"/>
      <c r="C69" s="739" t="s">
        <v>1831</v>
      </c>
      <c r="D69" s="758">
        <v>27560</v>
      </c>
      <c r="E69" s="758">
        <f t="shared" si="1"/>
        <v>28</v>
      </c>
      <c r="G69" s="431"/>
    </row>
    <row r="70" spans="1:7" ht="15">
      <c r="A70" s="366"/>
      <c r="B70" s="446"/>
      <c r="C70" s="366" t="s">
        <v>1830</v>
      </c>
      <c r="D70" s="758">
        <v>20000</v>
      </c>
      <c r="E70" s="758">
        <f t="shared" si="1"/>
        <v>20</v>
      </c>
      <c r="G70" s="431"/>
    </row>
    <row r="71" spans="1:7" ht="15">
      <c r="A71" s="366"/>
      <c r="B71" s="446"/>
      <c r="C71" s="366" t="s">
        <v>1848</v>
      </c>
      <c r="D71" s="758">
        <v>120000</v>
      </c>
      <c r="E71" s="758">
        <f t="shared" si="1"/>
        <v>120</v>
      </c>
      <c r="G71" s="431"/>
    </row>
    <row r="72" spans="1:7" ht="15">
      <c r="A72" s="366"/>
      <c r="B72" s="446"/>
      <c r="C72" s="366" t="s">
        <v>622</v>
      </c>
      <c r="D72" s="758">
        <v>342</v>
      </c>
      <c r="E72" s="758">
        <f>ROUND(D72,-3)/1000</f>
        <v>0</v>
      </c>
      <c r="G72" s="431"/>
    </row>
    <row r="73" spans="1:7" ht="15">
      <c r="A73" s="54">
        <v>5461</v>
      </c>
      <c r="B73" s="49"/>
      <c r="C73" s="752" t="s">
        <v>2085</v>
      </c>
      <c r="D73" s="213">
        <f>SUM(D75)</f>
        <v>2040000</v>
      </c>
      <c r="E73" s="213">
        <f>ROUND(D73,-3)/1000</f>
        <v>2040</v>
      </c>
      <c r="G73" s="431"/>
    </row>
    <row r="74" spans="1:7" ht="15">
      <c r="A74" s="366"/>
      <c r="B74" s="446"/>
      <c r="C74" s="366" t="s">
        <v>1832</v>
      </c>
      <c r="D74" s="758"/>
      <c r="E74" s="758"/>
      <c r="G74" s="431"/>
    </row>
    <row r="75" spans="1:7" ht="15">
      <c r="A75" s="366"/>
      <c r="B75" s="446"/>
      <c r="C75" s="366" t="s">
        <v>1833</v>
      </c>
      <c r="D75" s="758">
        <f>170000*12</f>
        <v>2040000</v>
      </c>
      <c r="E75" s="758">
        <f>ROUND(D75,-3)/1000</f>
        <v>2040</v>
      </c>
      <c r="G75" s="431"/>
    </row>
    <row r="76" spans="1:7" ht="15">
      <c r="A76" s="54">
        <v>5471</v>
      </c>
      <c r="B76" s="49"/>
      <c r="C76" s="54" t="s">
        <v>1389</v>
      </c>
      <c r="D76" s="213">
        <v>450000</v>
      </c>
      <c r="E76" s="213">
        <f aca="true" t="shared" si="2" ref="E76:E97">ROUND(D76,-3)/1000</f>
        <v>450</v>
      </c>
      <c r="G76" s="431"/>
    </row>
    <row r="77" spans="1:7" ht="15">
      <c r="A77" s="54"/>
      <c r="B77" s="49"/>
      <c r="C77" s="54"/>
      <c r="D77" s="758"/>
      <c r="E77" s="758">
        <f t="shared" si="2"/>
        <v>0</v>
      </c>
      <c r="G77" s="431"/>
    </row>
    <row r="78" spans="1:7" ht="15">
      <c r="A78" s="54">
        <v>5491</v>
      </c>
      <c r="B78" s="49"/>
      <c r="C78" s="752" t="s">
        <v>1390</v>
      </c>
      <c r="D78" s="213">
        <f>SUM(D79:D82)</f>
        <v>800000</v>
      </c>
      <c r="E78" s="213">
        <f t="shared" si="2"/>
        <v>800</v>
      </c>
      <c r="G78" s="431"/>
    </row>
    <row r="79" spans="1:7" ht="15">
      <c r="A79" s="54"/>
      <c r="B79" s="49"/>
      <c r="C79" s="739" t="s">
        <v>629</v>
      </c>
      <c r="D79" s="758">
        <v>300000</v>
      </c>
      <c r="E79" s="758">
        <f t="shared" si="2"/>
        <v>300</v>
      </c>
      <c r="G79" s="431"/>
    </row>
    <row r="80" spans="1:7" ht="15">
      <c r="A80" s="54"/>
      <c r="B80" s="49"/>
      <c r="C80" s="739" t="s">
        <v>656</v>
      </c>
      <c r="D80" s="758">
        <v>100000</v>
      </c>
      <c r="E80" s="758">
        <f t="shared" si="2"/>
        <v>100</v>
      </c>
      <c r="G80" s="431"/>
    </row>
    <row r="81" spans="1:7" ht="15">
      <c r="A81" s="54"/>
      <c r="B81" s="49"/>
      <c r="C81" s="739" t="s">
        <v>630</v>
      </c>
      <c r="D81" s="758">
        <v>40000</v>
      </c>
      <c r="E81" s="758">
        <f t="shared" si="2"/>
        <v>40</v>
      </c>
      <c r="G81" s="431"/>
    </row>
    <row r="82" spans="1:7" ht="15">
      <c r="A82" s="366"/>
      <c r="B82" s="446"/>
      <c r="C82" s="739" t="s">
        <v>655</v>
      </c>
      <c r="D82" s="758">
        <v>360000</v>
      </c>
      <c r="E82" s="758">
        <f t="shared" si="2"/>
        <v>360</v>
      </c>
      <c r="G82" s="431"/>
    </row>
    <row r="83" spans="1:7" ht="15">
      <c r="A83" s="54">
        <v>55111</v>
      </c>
      <c r="B83" s="49"/>
      <c r="C83" s="752" t="s">
        <v>1392</v>
      </c>
      <c r="D83" s="213">
        <f>SUM(D84:D86)</f>
        <v>3000000</v>
      </c>
      <c r="E83" s="213">
        <f t="shared" si="2"/>
        <v>3000</v>
      </c>
      <c r="G83" s="431"/>
    </row>
    <row r="84" spans="1:7" ht="15">
      <c r="A84" s="54"/>
      <c r="B84" s="49"/>
      <c r="C84" s="739" t="s">
        <v>1834</v>
      </c>
      <c r="D84" s="758">
        <v>1560000</v>
      </c>
      <c r="E84" s="758">
        <f t="shared" si="2"/>
        <v>1560</v>
      </c>
      <c r="G84" s="431"/>
    </row>
    <row r="85" spans="1:7" ht="15">
      <c r="A85" s="54"/>
      <c r="B85" s="49"/>
      <c r="C85" s="739" t="s">
        <v>1835</v>
      </c>
      <c r="D85" s="758">
        <v>240000</v>
      </c>
      <c r="E85" s="758">
        <f t="shared" si="2"/>
        <v>240</v>
      </c>
      <c r="G85" s="431"/>
    </row>
    <row r="86" spans="1:7" ht="15">
      <c r="A86" s="366"/>
      <c r="B86" s="446"/>
      <c r="C86" s="739" t="s">
        <v>1836</v>
      </c>
      <c r="D86" s="758">
        <v>1200000</v>
      </c>
      <c r="E86" s="213">
        <f t="shared" si="2"/>
        <v>1200</v>
      </c>
      <c r="G86" s="431"/>
    </row>
    <row r="87" spans="1:7" ht="15">
      <c r="A87" s="54">
        <v>55119</v>
      </c>
      <c r="B87" s="49"/>
      <c r="C87" s="752" t="s">
        <v>1393</v>
      </c>
      <c r="D87" s="213">
        <f>SUM(D88)</f>
        <v>211200</v>
      </c>
      <c r="E87" s="213">
        <f t="shared" si="2"/>
        <v>211</v>
      </c>
      <c r="G87" s="431"/>
    </row>
    <row r="88" spans="1:7" ht="15">
      <c r="A88" s="366"/>
      <c r="B88" s="446"/>
      <c r="C88" s="739" t="s">
        <v>1093</v>
      </c>
      <c r="D88" s="758">
        <v>211200</v>
      </c>
      <c r="E88" s="758">
        <f t="shared" si="2"/>
        <v>211</v>
      </c>
      <c r="G88" s="431"/>
    </row>
    <row r="89" spans="1:9" ht="15">
      <c r="A89" s="54">
        <v>552121</v>
      </c>
      <c r="B89" s="49"/>
      <c r="C89" s="752" t="s">
        <v>118</v>
      </c>
      <c r="D89" s="213">
        <f>SUM(D90:D91)</f>
        <v>2520000</v>
      </c>
      <c r="E89" s="213">
        <f t="shared" si="2"/>
        <v>2520</v>
      </c>
      <c r="G89" s="2475"/>
      <c r="H89" s="2476"/>
      <c r="I89" s="2476"/>
    </row>
    <row r="90" spans="1:9" ht="15">
      <c r="A90" s="54"/>
      <c r="B90" s="49"/>
      <c r="C90" s="739" t="s">
        <v>625</v>
      </c>
      <c r="D90" s="758">
        <v>120000</v>
      </c>
      <c r="E90" s="758">
        <f t="shared" si="2"/>
        <v>120</v>
      </c>
      <c r="G90" s="474"/>
      <c r="H90" s="475"/>
      <c r="I90" s="475"/>
    </row>
    <row r="91" spans="1:7" ht="15">
      <c r="A91" s="366"/>
      <c r="B91" s="446"/>
      <c r="C91" s="739" t="s">
        <v>624</v>
      </c>
      <c r="D91" s="758">
        <v>2400000</v>
      </c>
      <c r="E91" s="758">
        <f t="shared" si="2"/>
        <v>2400</v>
      </c>
      <c r="G91" s="431"/>
    </row>
    <row r="92" spans="1:7" ht="15">
      <c r="A92" s="54">
        <v>55214</v>
      </c>
      <c r="B92" s="49"/>
      <c r="C92" s="752" t="s">
        <v>1394</v>
      </c>
      <c r="D92" s="758">
        <f>SUM(D93)</f>
        <v>2733000</v>
      </c>
      <c r="E92" s="213">
        <f t="shared" si="2"/>
        <v>2733</v>
      </c>
      <c r="G92" s="431"/>
    </row>
    <row r="93" spans="1:7" ht="15">
      <c r="A93" s="366"/>
      <c r="B93" s="446"/>
      <c r="C93" s="739"/>
      <c r="D93" s="758">
        <v>2733000</v>
      </c>
      <c r="E93" s="758">
        <f t="shared" si="2"/>
        <v>2733</v>
      </c>
      <c r="G93" s="431"/>
    </row>
    <row r="94" spans="1:7" ht="15">
      <c r="A94" s="54">
        <v>55215</v>
      </c>
      <c r="B94" s="49"/>
      <c r="C94" s="752" t="s">
        <v>1395</v>
      </c>
      <c r="D94" s="213">
        <f>SUM(D95)</f>
        <v>2300000</v>
      </c>
      <c r="E94" s="213">
        <f t="shared" si="2"/>
        <v>2300</v>
      </c>
      <c r="G94" s="431"/>
    </row>
    <row r="95" spans="1:7" ht="15">
      <c r="A95" s="366"/>
      <c r="B95" s="446"/>
      <c r="C95" s="739"/>
      <c r="D95" s="758">
        <v>2300000</v>
      </c>
      <c r="E95" s="758">
        <f t="shared" si="2"/>
        <v>2300</v>
      </c>
      <c r="G95" s="431"/>
    </row>
    <row r="96" spans="1:7" ht="15">
      <c r="A96" s="54">
        <v>55217</v>
      </c>
      <c r="B96" s="49"/>
      <c r="C96" s="752" t="s">
        <v>1396</v>
      </c>
      <c r="D96" s="213">
        <f>SUM(D97)</f>
        <v>600000</v>
      </c>
      <c r="E96" s="213">
        <f t="shared" si="2"/>
        <v>600</v>
      </c>
      <c r="G96" s="431"/>
    </row>
    <row r="97" spans="1:7" ht="15">
      <c r="A97" s="366"/>
      <c r="B97" s="446"/>
      <c r="C97" s="739"/>
      <c r="D97" s="758">
        <v>600000</v>
      </c>
      <c r="E97" s="758">
        <f t="shared" si="2"/>
        <v>600</v>
      </c>
      <c r="G97" s="431"/>
    </row>
    <row r="98" spans="1:7" ht="15">
      <c r="A98" s="54">
        <v>55218</v>
      </c>
      <c r="B98" s="49"/>
      <c r="C98" s="752" t="s">
        <v>1397</v>
      </c>
      <c r="D98" s="758">
        <f>SUM(D99:D103)</f>
        <v>1791000</v>
      </c>
      <c r="E98" s="207">
        <f aca="true" t="shared" si="3" ref="E98:E104">ROUND(D98,-3)/1000</f>
        <v>1791</v>
      </c>
      <c r="G98" s="431"/>
    </row>
    <row r="99" spans="1:7" ht="15">
      <c r="A99" s="54"/>
      <c r="B99" s="49"/>
      <c r="C99" s="739" t="s">
        <v>653</v>
      </c>
      <c r="D99" s="758">
        <v>400000</v>
      </c>
      <c r="E99" s="743">
        <f t="shared" si="3"/>
        <v>400</v>
      </c>
      <c r="G99" s="431"/>
    </row>
    <row r="100" spans="1:7" ht="15">
      <c r="A100" s="54"/>
      <c r="B100" s="49"/>
      <c r="C100" s="739" t="s">
        <v>626</v>
      </c>
      <c r="D100" s="758">
        <v>480000</v>
      </c>
      <c r="E100" s="743">
        <f t="shared" si="3"/>
        <v>480</v>
      </c>
      <c r="G100" s="431"/>
    </row>
    <row r="101" spans="1:7" ht="15">
      <c r="A101" s="54"/>
      <c r="B101" s="49"/>
      <c r="C101" s="739" t="s">
        <v>1845</v>
      </c>
      <c r="D101" s="758">
        <v>240000</v>
      </c>
      <c r="E101" s="743">
        <f t="shared" si="3"/>
        <v>240</v>
      </c>
      <c r="G101" s="431"/>
    </row>
    <row r="102" spans="1:7" ht="15">
      <c r="A102" s="54"/>
      <c r="B102" s="49"/>
      <c r="C102" s="739" t="s">
        <v>1844</v>
      </c>
      <c r="D102" s="758">
        <v>431000</v>
      </c>
      <c r="E102" s="743">
        <f t="shared" si="3"/>
        <v>431</v>
      </c>
      <c r="G102" s="431"/>
    </row>
    <row r="103" spans="1:7" ht="15">
      <c r="A103" s="54"/>
      <c r="B103" s="49"/>
      <c r="C103" s="739" t="s">
        <v>1843</v>
      </c>
      <c r="D103" s="758">
        <v>240000</v>
      </c>
      <c r="E103" s="743">
        <f t="shared" si="3"/>
        <v>240</v>
      </c>
      <c r="G103" s="431"/>
    </row>
    <row r="104" spans="1:7" ht="15">
      <c r="A104" s="54">
        <v>55219</v>
      </c>
      <c r="B104" s="49"/>
      <c r="C104" s="752" t="s">
        <v>1425</v>
      </c>
      <c r="D104" s="213">
        <f>SUM(D105:D112)</f>
        <v>6104940</v>
      </c>
      <c r="E104" s="213">
        <f t="shared" si="3"/>
        <v>6105</v>
      </c>
      <c r="G104" s="431"/>
    </row>
    <row r="105" spans="1:7" ht="15">
      <c r="A105" s="366"/>
      <c r="B105" s="446"/>
      <c r="C105" s="739" t="s">
        <v>654</v>
      </c>
      <c r="D105" s="758">
        <v>258000</v>
      </c>
      <c r="E105" s="758">
        <f aca="true" t="shared" si="4" ref="E105:E123">ROUND(D105,-3)/1000</f>
        <v>258</v>
      </c>
      <c r="G105" s="431"/>
    </row>
    <row r="106" spans="1:7" ht="15">
      <c r="A106" s="366"/>
      <c r="B106" s="446"/>
      <c r="C106" s="739" t="s">
        <v>1867</v>
      </c>
      <c r="D106" s="758">
        <v>854725</v>
      </c>
      <c r="E106" s="758">
        <f t="shared" si="4"/>
        <v>855</v>
      </c>
      <c r="G106" s="431"/>
    </row>
    <row r="107" spans="1:7" ht="15">
      <c r="A107" s="366"/>
      <c r="B107" s="446"/>
      <c r="C107" s="739" t="s">
        <v>1866</v>
      </c>
      <c r="D107" s="758">
        <v>14965</v>
      </c>
      <c r="E107" s="758">
        <f t="shared" si="4"/>
        <v>15</v>
      </c>
      <c r="G107" s="431"/>
    </row>
    <row r="108" spans="1:7" ht="15">
      <c r="A108" s="366"/>
      <c r="B108" s="446"/>
      <c r="C108" s="739" t="s">
        <v>2255</v>
      </c>
      <c r="D108" s="758">
        <v>47250</v>
      </c>
      <c r="E108" s="758">
        <f t="shared" si="4"/>
        <v>47</v>
      </c>
      <c r="G108" s="431"/>
    </row>
    <row r="109" spans="1:7" ht="15">
      <c r="A109" s="366"/>
      <c r="B109" s="446"/>
      <c r="C109" s="739" t="s">
        <v>1842</v>
      </c>
      <c r="D109" s="758">
        <v>4500000</v>
      </c>
      <c r="E109" s="758">
        <f t="shared" si="4"/>
        <v>4500</v>
      </c>
      <c r="G109" s="431"/>
    </row>
    <row r="110" spans="1:7" ht="15">
      <c r="A110" s="366"/>
      <c r="B110" s="446"/>
      <c r="C110" s="739" t="s">
        <v>627</v>
      </c>
      <c r="D110" s="758">
        <v>30000</v>
      </c>
      <c r="E110" s="758">
        <f t="shared" si="4"/>
        <v>30</v>
      </c>
      <c r="G110" s="431"/>
    </row>
    <row r="111" spans="1:7" ht="15">
      <c r="A111" s="366"/>
      <c r="B111" s="446"/>
      <c r="C111" s="739" t="s">
        <v>1841</v>
      </c>
      <c r="D111" s="758">
        <v>100000</v>
      </c>
      <c r="E111" s="758">
        <f t="shared" si="4"/>
        <v>100</v>
      </c>
      <c r="G111" s="431"/>
    </row>
    <row r="112" spans="1:7" ht="15">
      <c r="A112" s="366"/>
      <c r="B112" s="446"/>
      <c r="C112" s="739" t="s">
        <v>1840</v>
      </c>
      <c r="D112" s="758">
        <v>300000</v>
      </c>
      <c r="E112" s="758">
        <f t="shared" si="4"/>
        <v>300</v>
      </c>
      <c r="G112" s="431"/>
    </row>
    <row r="113" spans="1:7" ht="15">
      <c r="A113" s="366"/>
      <c r="B113" s="446"/>
      <c r="C113" s="739" t="s">
        <v>1846</v>
      </c>
      <c r="D113" s="758">
        <v>110236</v>
      </c>
      <c r="E113" s="758">
        <f t="shared" si="4"/>
        <v>110</v>
      </c>
      <c r="G113" s="431"/>
    </row>
    <row r="114" spans="1:7" ht="15">
      <c r="A114" s="54">
        <v>5561</v>
      </c>
      <c r="B114" s="49"/>
      <c r="C114" s="752" t="s">
        <v>628</v>
      </c>
      <c r="D114" s="213">
        <f>SUM(D115)</f>
        <v>800000</v>
      </c>
      <c r="E114" s="213">
        <f t="shared" si="4"/>
        <v>800</v>
      </c>
      <c r="G114" s="431"/>
    </row>
    <row r="115" spans="1:7" ht="15">
      <c r="A115" s="366"/>
      <c r="B115" s="446"/>
      <c r="C115" s="739"/>
      <c r="D115" s="758">
        <v>800000</v>
      </c>
      <c r="E115" s="758">
        <f t="shared" si="4"/>
        <v>800</v>
      </c>
      <c r="G115" s="431"/>
    </row>
    <row r="116" spans="1:7" ht="15">
      <c r="A116" s="429">
        <v>56111</v>
      </c>
      <c r="B116" s="49"/>
      <c r="C116" s="54" t="s">
        <v>1399</v>
      </c>
      <c r="D116" s="213">
        <f>(D58+D60+D61+D66+D67+D68+D69+D70+D71+D72+D78+D83+D87+D89+D92+D94+D96+D98+D106+D107+D108+D109+D111+D112+D113)*0.27+(D62+D63+D65)*0.05</f>
        <v>6504159.750000001</v>
      </c>
      <c r="E116" s="213">
        <f t="shared" si="4"/>
        <v>6504</v>
      </c>
      <c r="G116" s="431"/>
    </row>
    <row r="117" spans="1:7" ht="15">
      <c r="A117" s="54">
        <v>56211</v>
      </c>
      <c r="B117" s="49"/>
      <c r="C117" s="54" t="s">
        <v>1400</v>
      </c>
      <c r="D117" s="213">
        <v>1500000</v>
      </c>
      <c r="E117" s="213">
        <f t="shared" si="4"/>
        <v>1500</v>
      </c>
      <c r="G117" s="431"/>
    </row>
    <row r="118" spans="1:7" ht="15">
      <c r="A118" s="54"/>
      <c r="B118" s="49"/>
      <c r="C118" s="366" t="s">
        <v>1865</v>
      </c>
      <c r="D118" s="758">
        <v>1500000</v>
      </c>
      <c r="E118" s="758">
        <f t="shared" si="4"/>
        <v>1500</v>
      </c>
      <c r="G118" s="431"/>
    </row>
    <row r="119" spans="1:7" ht="15">
      <c r="A119" s="54">
        <v>56319</v>
      </c>
      <c r="B119" s="49"/>
      <c r="C119" s="752" t="s">
        <v>2086</v>
      </c>
      <c r="D119" s="758">
        <f>SUM(D120:D121)</f>
        <v>500000</v>
      </c>
      <c r="E119" s="758">
        <f t="shared" si="4"/>
        <v>500</v>
      </c>
      <c r="G119" s="431"/>
    </row>
    <row r="120" spans="1:7" ht="15">
      <c r="A120" s="54"/>
      <c r="B120" s="49"/>
      <c r="C120" s="739" t="s">
        <v>1271</v>
      </c>
      <c r="D120" s="758">
        <v>500000</v>
      </c>
      <c r="E120" s="758">
        <f t="shared" si="4"/>
        <v>500</v>
      </c>
      <c r="G120" s="431"/>
    </row>
    <row r="121" spans="1:7" ht="15">
      <c r="A121" s="54"/>
      <c r="B121" s="49"/>
      <c r="C121" s="739" t="s">
        <v>1418</v>
      </c>
      <c r="D121" s="758"/>
      <c r="E121" s="758">
        <f t="shared" si="4"/>
        <v>0</v>
      </c>
      <c r="G121" s="431"/>
    </row>
    <row r="122" spans="1:7" ht="15">
      <c r="A122" s="54">
        <v>5642</v>
      </c>
      <c r="B122" s="49"/>
      <c r="C122" s="752" t="s">
        <v>1959</v>
      </c>
      <c r="D122" s="758">
        <f>120000*12</f>
        <v>1440000</v>
      </c>
      <c r="E122" s="213">
        <f t="shared" si="4"/>
        <v>1440</v>
      </c>
      <c r="G122" s="431"/>
    </row>
    <row r="123" spans="1:7" ht="15">
      <c r="A123" s="54"/>
      <c r="B123" s="49"/>
      <c r="C123" s="739" t="s">
        <v>1847</v>
      </c>
      <c r="D123" s="758"/>
      <c r="E123" s="758">
        <f t="shared" si="4"/>
        <v>0</v>
      </c>
      <c r="G123" s="431"/>
    </row>
    <row r="124" spans="1:7" s="424" customFormat="1" ht="15.75">
      <c r="A124" s="54">
        <v>57211</v>
      </c>
      <c r="B124" s="49"/>
      <c r="C124" s="752" t="s">
        <v>1060</v>
      </c>
      <c r="D124" s="1006">
        <f>+D29*1.19*0.26</f>
        <v>1345890</v>
      </c>
      <c r="E124" s="1006">
        <f aca="true" t="shared" si="5" ref="E124:E135">ROUND(D124,-3)/1000</f>
        <v>1346</v>
      </c>
      <c r="G124" s="428"/>
    </row>
    <row r="125" spans="1:7" s="424" customFormat="1" ht="15.75">
      <c r="A125" s="54"/>
      <c r="B125" s="49"/>
      <c r="C125" s="752" t="s">
        <v>1878</v>
      </c>
      <c r="D125" s="213"/>
      <c r="E125" s="207">
        <f t="shared" si="5"/>
        <v>0</v>
      </c>
      <c r="G125" s="428"/>
    </row>
    <row r="126" spans="1:7" ht="15">
      <c r="A126" s="54">
        <v>57213</v>
      </c>
      <c r="B126" s="49"/>
      <c r="C126" s="54" t="s">
        <v>1181</v>
      </c>
      <c r="D126" s="758">
        <f>'rehabilitációs hj '!D15</f>
        <v>1494975</v>
      </c>
      <c r="E126" s="207">
        <f t="shared" si="5"/>
        <v>1495</v>
      </c>
      <c r="G126" s="431"/>
    </row>
    <row r="127" spans="1:7" ht="15">
      <c r="A127" s="54">
        <v>57219</v>
      </c>
      <c r="B127" s="49"/>
      <c r="C127" s="54" t="s">
        <v>631</v>
      </c>
      <c r="D127" s="213">
        <f>SUM(D128:D135)</f>
        <v>2950377</v>
      </c>
      <c r="E127" s="207">
        <f t="shared" si="5"/>
        <v>2950</v>
      </c>
      <c r="G127" s="431"/>
    </row>
    <row r="128" spans="1:7" ht="15">
      <c r="A128" s="54"/>
      <c r="B128" s="49"/>
      <c r="C128" s="366" t="s">
        <v>360</v>
      </c>
      <c r="D128" s="758">
        <f>585000*4</f>
        <v>2340000</v>
      </c>
      <c r="E128" s="743">
        <f t="shared" si="5"/>
        <v>2340</v>
      </c>
      <c r="G128" s="431"/>
    </row>
    <row r="129" spans="1:7" ht="15">
      <c r="A129" s="54"/>
      <c r="B129" s="49"/>
      <c r="C129" s="366" t="s">
        <v>1838</v>
      </c>
      <c r="D129" s="758">
        <f>32763*4</f>
        <v>131052</v>
      </c>
      <c r="E129" s="743">
        <f t="shared" si="5"/>
        <v>131</v>
      </c>
      <c r="G129" s="431"/>
    </row>
    <row r="130" spans="1:7" ht="15">
      <c r="A130" s="54"/>
      <c r="B130" s="49"/>
      <c r="C130" s="366" t="s">
        <v>1839</v>
      </c>
      <c r="D130" s="758">
        <f>8697*4</f>
        <v>34788</v>
      </c>
      <c r="E130" s="743">
        <f t="shared" si="5"/>
        <v>35</v>
      </c>
      <c r="G130" s="431"/>
    </row>
    <row r="131" spans="1:7" ht="15">
      <c r="A131" s="54"/>
      <c r="B131" s="49"/>
      <c r="C131" s="366" t="s">
        <v>362</v>
      </c>
      <c r="D131" s="758">
        <v>36872</v>
      </c>
      <c r="E131" s="743">
        <f t="shared" si="5"/>
        <v>37</v>
      </c>
      <c r="G131" s="431"/>
    </row>
    <row r="132" spans="1:7" ht="15">
      <c r="A132" s="54"/>
      <c r="B132" s="49"/>
      <c r="C132" s="366" t="s">
        <v>363</v>
      </c>
      <c r="D132" s="758">
        <v>2335</v>
      </c>
      <c r="E132" s="743">
        <f t="shared" si="5"/>
        <v>2</v>
      </c>
      <c r="G132" s="431"/>
    </row>
    <row r="133" spans="1:7" ht="15">
      <c r="A133" s="54"/>
      <c r="B133" s="49"/>
      <c r="C133" s="366" t="s">
        <v>366</v>
      </c>
      <c r="D133" s="758">
        <f>7836*4</f>
        <v>31344</v>
      </c>
      <c r="E133" s="743">
        <f t="shared" si="5"/>
        <v>31</v>
      </c>
      <c r="G133" s="431"/>
    </row>
    <row r="134" spans="1:7" ht="15">
      <c r="A134" s="54"/>
      <c r="B134" s="49"/>
      <c r="C134" s="366" t="s">
        <v>367</v>
      </c>
      <c r="D134" s="758">
        <f>14142*4</f>
        <v>56568</v>
      </c>
      <c r="E134" s="743">
        <f t="shared" si="5"/>
        <v>57</v>
      </c>
      <c r="G134" s="431"/>
    </row>
    <row r="135" spans="1:7" ht="15">
      <c r="A135" s="54"/>
      <c r="B135" s="49"/>
      <c r="C135" s="366" t="s">
        <v>1837</v>
      </c>
      <c r="D135" s="758">
        <f>24606*12+7382*3</f>
        <v>317418</v>
      </c>
      <c r="E135" s="758">
        <f t="shared" si="5"/>
        <v>317</v>
      </c>
      <c r="G135" s="431"/>
    </row>
    <row r="136" spans="1:7" ht="15.75">
      <c r="A136" s="54"/>
      <c r="B136" s="49"/>
      <c r="C136" s="54"/>
      <c r="D136" s="758"/>
      <c r="E136" s="213"/>
      <c r="G136" s="428"/>
    </row>
    <row r="137" spans="1:7" ht="15.75">
      <c r="A137" s="2474" t="s">
        <v>1372</v>
      </c>
      <c r="B137" s="2474"/>
      <c r="C137" s="2474"/>
      <c r="D137" s="2474"/>
      <c r="E137" s="479">
        <f>E55+E57+E59+E73+E76+E78+E83+E87+E89+E92+E94+E96+E98+E104+E114+E116+E117+E119+E122+E124+E126+E127</f>
        <v>43351</v>
      </c>
      <c r="F137" s="431">
        <f>51079-E137</f>
        <v>7728</v>
      </c>
      <c r="G137" s="428"/>
    </row>
    <row r="138" spans="1:7" ht="15.75">
      <c r="A138" s="373"/>
      <c r="B138" s="141"/>
      <c r="C138" s="373"/>
      <c r="D138" s="260"/>
      <c r="E138" s="259"/>
      <c r="G138" s="428"/>
    </row>
    <row r="139" spans="1:7" ht="15.75">
      <c r="A139" s="54">
        <v>59211</v>
      </c>
      <c r="B139" s="49"/>
      <c r="C139" s="54" t="s">
        <v>788</v>
      </c>
      <c r="D139" s="758"/>
      <c r="E139" s="213"/>
      <c r="G139" s="428"/>
    </row>
    <row r="140" spans="1:7" ht="15.75">
      <c r="A140" s="54"/>
      <c r="B140" s="49"/>
      <c r="C140" s="366"/>
      <c r="D140" s="743"/>
      <c r="E140" s="213"/>
      <c r="G140" s="428"/>
    </row>
    <row r="141" spans="1:7" ht="15.75">
      <c r="A141" s="54"/>
      <c r="B141" s="49"/>
      <c r="C141" s="874"/>
      <c r="D141" s="758"/>
      <c r="E141" s="213"/>
      <c r="G141" s="428"/>
    </row>
    <row r="142" spans="1:7" ht="15.75">
      <c r="A142" s="54"/>
      <c r="B142" s="49"/>
      <c r="C142" s="874"/>
      <c r="D142" s="758"/>
      <c r="E142" s="213"/>
      <c r="G142" s="428"/>
    </row>
    <row r="143" spans="1:7" ht="15.75">
      <c r="A143" s="54"/>
      <c r="B143" s="49"/>
      <c r="C143" s="874"/>
      <c r="D143" s="758"/>
      <c r="E143" s="213"/>
      <c r="G143" s="428"/>
    </row>
    <row r="144" spans="1:7" ht="15.75">
      <c r="A144" s="54"/>
      <c r="B144" s="49"/>
      <c r="C144" s="366"/>
      <c r="D144" s="758"/>
      <c r="E144" s="213"/>
      <c r="G144" s="428"/>
    </row>
    <row r="145" spans="1:7" ht="15.75">
      <c r="A145" s="54"/>
      <c r="B145" s="49"/>
      <c r="C145" s="366"/>
      <c r="D145" s="758"/>
      <c r="E145" s="213"/>
      <c r="G145" s="428"/>
    </row>
    <row r="146" spans="1:7" ht="15.75">
      <c r="A146" s="54"/>
      <c r="B146" s="49"/>
      <c r="C146" s="54" t="s">
        <v>285</v>
      </c>
      <c r="D146" s="758"/>
      <c r="E146" s="213">
        <f>SUM(D147:D148)</f>
        <v>0</v>
      </c>
      <c r="G146" s="428"/>
    </row>
    <row r="147" spans="1:7" ht="15">
      <c r="A147" s="366"/>
      <c r="B147" s="446"/>
      <c r="C147" s="366"/>
      <c r="D147" s="758"/>
      <c r="E147" s="366"/>
      <c r="G147" s="431"/>
    </row>
    <row r="148" spans="1:7" ht="33.75" customHeight="1">
      <c r="A148" s="366"/>
      <c r="B148" s="446"/>
      <c r="C148" s="760"/>
      <c r="D148" s="758"/>
      <c r="E148" s="366"/>
      <c r="G148" s="431"/>
    </row>
    <row r="149" spans="1:7" ht="15">
      <c r="A149" s="344"/>
      <c r="B149" s="476"/>
      <c r="C149" s="456"/>
      <c r="D149" s="260"/>
      <c r="E149" s="344"/>
      <c r="G149" s="431"/>
    </row>
    <row r="150" spans="1:7" ht="15">
      <c r="A150" s="344"/>
      <c r="B150" s="476"/>
      <c r="C150" s="456"/>
      <c r="D150" s="260"/>
      <c r="E150" s="344"/>
      <c r="G150" s="431"/>
    </row>
    <row r="151" spans="1:7" s="442" customFormat="1" ht="15.75">
      <c r="A151" s="480"/>
      <c r="B151" s="481"/>
      <c r="C151" s="480"/>
      <c r="D151" s="673"/>
      <c r="E151" s="379"/>
      <c r="G151" s="435"/>
    </row>
    <row r="152" spans="1:7" s="442" customFormat="1" ht="15">
      <c r="A152" s="2473" t="s">
        <v>215</v>
      </c>
      <c r="B152" s="2473"/>
      <c r="C152" s="2473"/>
      <c r="D152" s="2473"/>
      <c r="E152" s="2473"/>
      <c r="G152" s="435"/>
    </row>
    <row r="153" spans="1:7" s="442" customFormat="1" ht="15">
      <c r="A153" s="344"/>
      <c r="B153" s="476"/>
      <c r="C153" s="344"/>
      <c r="D153" s="260"/>
      <c r="E153" s="344"/>
      <c r="G153" s="435"/>
    </row>
    <row r="154" spans="1:7" s="442" customFormat="1" ht="15.75">
      <c r="A154" s="2474" t="s">
        <v>1368</v>
      </c>
      <c r="B154" s="2474"/>
      <c r="C154" s="2474"/>
      <c r="D154" s="2474"/>
      <c r="E154" s="479"/>
      <c r="G154" s="435"/>
    </row>
    <row r="155" spans="1:7" s="442" customFormat="1" ht="15">
      <c r="A155" s="419"/>
      <c r="B155" s="482"/>
      <c r="C155" s="419"/>
      <c r="D155" s="673"/>
      <c r="E155" s="261"/>
      <c r="G155" s="435"/>
    </row>
    <row r="156" spans="1:7" s="442" customFormat="1" ht="15">
      <c r="A156" s="2473" t="s">
        <v>1961</v>
      </c>
      <c r="B156" s="2473"/>
      <c r="C156" s="2473"/>
      <c r="D156" s="2473"/>
      <c r="E156" s="2473"/>
      <c r="G156" s="435"/>
    </row>
    <row r="157" spans="1:7" s="442" customFormat="1" ht="15">
      <c r="A157" s="121"/>
      <c r="B157" s="121"/>
      <c r="C157" s="121"/>
      <c r="D157" s="672"/>
      <c r="E157" s="121"/>
      <c r="G157" s="435"/>
    </row>
    <row r="158" spans="1:7" s="442" customFormat="1" ht="15">
      <c r="A158" s="430">
        <v>373151</v>
      </c>
      <c r="B158" s="446"/>
      <c r="C158" s="746" t="s">
        <v>1417</v>
      </c>
      <c r="D158" s="753"/>
      <c r="E158" s="748">
        <v>1500</v>
      </c>
      <c r="G158" s="435"/>
    </row>
    <row r="159" spans="1:7" s="442" customFormat="1" ht="15">
      <c r="A159" s="430">
        <v>373152</v>
      </c>
      <c r="B159" s="446"/>
      <c r="C159" s="366" t="s">
        <v>1298</v>
      </c>
      <c r="D159" s="741"/>
      <c r="E159" s="758">
        <f>'841127-118-Kisebbségi önk.'!E81</f>
        <v>1800</v>
      </c>
      <c r="G159" s="435"/>
    </row>
    <row r="160" spans="1:7" s="442" customFormat="1" ht="15">
      <c r="A160" s="430">
        <v>373153</v>
      </c>
      <c r="B160" s="446"/>
      <c r="C160" s="746" t="s">
        <v>583</v>
      </c>
      <c r="D160" s="753"/>
      <c r="E160" s="748">
        <f>E215+500</f>
        <v>33932</v>
      </c>
      <c r="G160" s="435"/>
    </row>
    <row r="161" spans="1:7" s="442" customFormat="1" ht="15">
      <c r="A161" s="754">
        <v>373154</v>
      </c>
      <c r="B161" s="759"/>
      <c r="C161" s="746" t="s">
        <v>1367</v>
      </c>
      <c r="D161" s="753"/>
      <c r="E161" s="748">
        <v>100</v>
      </c>
      <c r="G161" s="435"/>
    </row>
    <row r="162" spans="1:7" s="442" customFormat="1" ht="15">
      <c r="A162" s="430">
        <v>373161</v>
      </c>
      <c r="B162" s="446"/>
      <c r="C162" s="739" t="s">
        <v>1174</v>
      </c>
      <c r="D162" s="751">
        <f>5451*65</f>
        <v>354315</v>
      </c>
      <c r="E162" s="741">
        <f>+ROUND(D162,-3)/1000</f>
        <v>354</v>
      </c>
      <c r="G162" s="435"/>
    </row>
    <row r="163" spans="1:7" s="442" customFormat="1" ht="15">
      <c r="A163" s="742">
        <v>373162</v>
      </c>
      <c r="B163" s="369"/>
      <c r="C163" s="744" t="s">
        <v>1175</v>
      </c>
      <c r="D163" s="363">
        <f>(5451*91*12)+7033947</f>
        <v>12986439</v>
      </c>
      <c r="E163" s="743">
        <f>+ROUND(D163,-3)/1000</f>
        <v>12986</v>
      </c>
      <c r="G163" s="435"/>
    </row>
    <row r="164" spans="1:7" s="442" customFormat="1" ht="15">
      <c r="A164" s="430"/>
      <c r="B164" s="446"/>
      <c r="C164" s="366" t="s">
        <v>11</v>
      </c>
      <c r="D164" s="741"/>
      <c r="E164" s="758"/>
      <c r="G164" s="435"/>
    </row>
    <row r="165" spans="1:7" s="442" customFormat="1" ht="15.75">
      <c r="A165" s="2474" t="s">
        <v>1962</v>
      </c>
      <c r="B165" s="2474"/>
      <c r="C165" s="2474"/>
      <c r="D165" s="2474"/>
      <c r="E165" s="479">
        <f>SUM(E158:E164)</f>
        <v>50672</v>
      </c>
      <c r="F165" s="442">
        <f>39669-39296</f>
        <v>373</v>
      </c>
      <c r="G165" s="435"/>
    </row>
    <row r="166" spans="1:7" s="442" customFormat="1" ht="15">
      <c r="A166" s="344"/>
      <c r="B166" s="476"/>
      <c r="C166" s="344"/>
      <c r="D166" s="260"/>
      <c r="E166" s="344"/>
      <c r="G166" s="435"/>
    </row>
    <row r="167" spans="1:7" s="442" customFormat="1" ht="27" customHeight="1">
      <c r="A167" s="2473" t="s">
        <v>1089</v>
      </c>
      <c r="B167" s="2473"/>
      <c r="C167" s="2473"/>
      <c r="D167" s="2473"/>
      <c r="E167" s="2473"/>
      <c r="G167" s="435"/>
    </row>
    <row r="168" spans="1:7" s="1028" customFormat="1" ht="15.75">
      <c r="A168" s="1027">
        <v>38115</v>
      </c>
      <c r="B168" s="1027"/>
      <c r="C168" s="1027" t="s">
        <v>455</v>
      </c>
      <c r="D168" s="187">
        <f>SUM(D169:D173)</f>
        <v>6000000</v>
      </c>
      <c r="E168" s="207">
        <f>+ROUND(D168,-3)/1000</f>
        <v>6000</v>
      </c>
      <c r="G168" s="1029"/>
    </row>
    <row r="169" spans="1:7" s="442" customFormat="1" ht="15" customHeight="1">
      <c r="A169" s="430">
        <v>3811523</v>
      </c>
      <c r="B169" s="446">
        <v>931202</v>
      </c>
      <c r="C169" s="746" t="s">
        <v>2088</v>
      </c>
      <c r="D169" s="753"/>
      <c r="E169" s="743">
        <f>+ROUND(D169,-3)/1000</f>
        <v>0</v>
      </c>
      <c r="G169" s="435"/>
    </row>
    <row r="170" spans="1:7" s="442" customFormat="1" ht="15" customHeight="1">
      <c r="A170" s="430">
        <v>3811524</v>
      </c>
      <c r="B170" s="739">
        <v>931201</v>
      </c>
      <c r="C170" s="746" t="s">
        <v>2089</v>
      </c>
      <c r="D170" s="753">
        <v>4000000</v>
      </c>
      <c r="E170" s="743">
        <f>+ROUND(D170,-3)/1000</f>
        <v>4000</v>
      </c>
      <c r="G170" s="435"/>
    </row>
    <row r="171" spans="1:7" s="442" customFormat="1" ht="15" customHeight="1">
      <c r="A171" s="430">
        <v>3811525</v>
      </c>
      <c r="B171" s="739">
        <v>931201</v>
      </c>
      <c r="C171" s="746" t="s">
        <v>168</v>
      </c>
      <c r="D171" s="753">
        <v>1000000</v>
      </c>
      <c r="E171" s="743">
        <f aca="true" t="shared" si="6" ref="E171:E189">+ROUND(D171,-3)/1000</f>
        <v>1000</v>
      </c>
      <c r="G171" s="435"/>
    </row>
    <row r="172" spans="1:7" s="442" customFormat="1" ht="15" customHeight="1">
      <c r="A172" s="430" t="s">
        <v>1090</v>
      </c>
      <c r="B172" s="739">
        <v>931201</v>
      </c>
      <c r="C172" s="746" t="s">
        <v>493</v>
      </c>
      <c r="D172" s="753">
        <v>1000000</v>
      </c>
      <c r="E172" s="743">
        <f t="shared" si="6"/>
        <v>1000</v>
      </c>
      <c r="G172" s="435"/>
    </row>
    <row r="173" spans="1:7" s="442" customFormat="1" ht="15" customHeight="1">
      <c r="A173" s="430">
        <v>38115253</v>
      </c>
      <c r="B173" s="739">
        <v>931301</v>
      </c>
      <c r="C173" s="746" t="s">
        <v>217</v>
      </c>
      <c r="D173" s="753"/>
      <c r="E173" s="743">
        <f t="shared" si="6"/>
        <v>0</v>
      </c>
      <c r="G173" s="435"/>
    </row>
    <row r="174" spans="1:7" s="442" customFormat="1" ht="15" customHeight="1">
      <c r="A174" s="430">
        <v>3811526</v>
      </c>
      <c r="B174" s="446">
        <v>890506</v>
      </c>
      <c r="C174" s="746" t="s">
        <v>2090</v>
      </c>
      <c r="D174" s="753">
        <v>100000</v>
      </c>
      <c r="E174" s="743">
        <f t="shared" si="6"/>
        <v>100</v>
      </c>
      <c r="G174" s="435"/>
    </row>
    <row r="175" spans="1:7" s="442" customFormat="1" ht="15" customHeight="1">
      <c r="A175" s="430">
        <v>3811527</v>
      </c>
      <c r="B175" s="446">
        <v>890506</v>
      </c>
      <c r="C175" s="746" t="s">
        <v>2091</v>
      </c>
      <c r="D175" s="753">
        <v>100000</v>
      </c>
      <c r="E175" s="743">
        <f t="shared" si="6"/>
        <v>100</v>
      </c>
      <c r="G175" s="435"/>
    </row>
    <row r="176" spans="1:7" s="442" customFormat="1" ht="15" customHeight="1">
      <c r="A176" s="430">
        <v>3811528</v>
      </c>
      <c r="B176" s="446">
        <v>890506</v>
      </c>
      <c r="C176" s="746" t="s">
        <v>245</v>
      </c>
      <c r="D176" s="753">
        <v>100000</v>
      </c>
      <c r="E176" s="743">
        <f t="shared" si="6"/>
        <v>100</v>
      </c>
      <c r="G176" s="435"/>
    </row>
    <row r="177" spans="1:7" s="442" customFormat="1" ht="15" customHeight="1">
      <c r="A177" s="430">
        <v>3811529</v>
      </c>
      <c r="B177" s="446">
        <v>890506</v>
      </c>
      <c r="C177" s="746" t="s">
        <v>246</v>
      </c>
      <c r="D177" s="753">
        <v>100000</v>
      </c>
      <c r="E177" s="743">
        <f t="shared" si="6"/>
        <v>100</v>
      </c>
      <c r="G177" s="435"/>
    </row>
    <row r="178" spans="1:7" s="442" customFormat="1" ht="15" customHeight="1">
      <c r="A178" s="430">
        <v>3811520</v>
      </c>
      <c r="B178" s="446">
        <v>890506</v>
      </c>
      <c r="C178" s="746" t="s">
        <v>247</v>
      </c>
      <c r="D178" s="753">
        <v>100000</v>
      </c>
      <c r="E178" s="743">
        <f t="shared" si="6"/>
        <v>100</v>
      </c>
      <c r="G178" s="435"/>
    </row>
    <row r="179" spans="1:7" s="442" customFormat="1" ht="15" customHeight="1">
      <c r="A179" s="430">
        <v>3811522</v>
      </c>
      <c r="B179" s="430">
        <v>841126</v>
      </c>
      <c r="C179" s="746" t="s">
        <v>584</v>
      </c>
      <c r="D179" s="753">
        <v>0</v>
      </c>
      <c r="E179" s="743">
        <f t="shared" si="6"/>
        <v>0</v>
      </c>
      <c r="G179" s="435"/>
    </row>
    <row r="180" spans="1:7" s="442" customFormat="1" ht="15" customHeight="1">
      <c r="A180" s="754">
        <v>381152221</v>
      </c>
      <c r="B180" s="754">
        <v>841126</v>
      </c>
      <c r="C180" s="746" t="s">
        <v>2087</v>
      </c>
      <c r="D180" s="753">
        <v>500000</v>
      </c>
      <c r="E180" s="743">
        <f t="shared" si="6"/>
        <v>500</v>
      </c>
      <c r="G180" s="435"/>
    </row>
    <row r="181" spans="1:7" s="442" customFormat="1" ht="15" customHeight="1">
      <c r="A181" s="754">
        <v>38115231</v>
      </c>
      <c r="B181" s="754">
        <v>841126</v>
      </c>
      <c r="C181" s="746" t="s">
        <v>585</v>
      </c>
      <c r="D181" s="753">
        <v>20000</v>
      </c>
      <c r="E181" s="743">
        <f t="shared" si="6"/>
        <v>20</v>
      </c>
      <c r="G181" s="435"/>
    </row>
    <row r="182" spans="1:7" s="442" customFormat="1" ht="15" customHeight="1">
      <c r="A182" s="754">
        <v>38115241</v>
      </c>
      <c r="B182" s="754">
        <v>841126</v>
      </c>
      <c r="C182" s="746" t="s">
        <v>1379</v>
      </c>
      <c r="D182" s="753">
        <v>600000</v>
      </c>
      <c r="E182" s="743">
        <f t="shared" si="6"/>
        <v>600</v>
      </c>
      <c r="G182" s="435"/>
    </row>
    <row r="183" spans="1:7" s="442" customFormat="1" ht="15" customHeight="1">
      <c r="A183" s="754">
        <v>38115271</v>
      </c>
      <c r="B183" s="754">
        <v>841126</v>
      </c>
      <c r="C183" s="739" t="s">
        <v>586</v>
      </c>
      <c r="D183" s="741">
        <v>60000</v>
      </c>
      <c r="E183" s="743">
        <f t="shared" si="6"/>
        <v>60</v>
      </c>
      <c r="F183" s="435"/>
      <c r="G183" s="435"/>
    </row>
    <row r="184" spans="1:7" s="442" customFormat="1" ht="15" customHeight="1">
      <c r="A184" s="754" t="s">
        <v>1300</v>
      </c>
      <c r="B184" s="754">
        <v>841126</v>
      </c>
      <c r="C184" s="756" t="s">
        <v>1299</v>
      </c>
      <c r="D184" s="753">
        <v>0</v>
      </c>
      <c r="E184" s="743">
        <f t="shared" si="6"/>
        <v>0</v>
      </c>
      <c r="F184" s="435"/>
      <c r="G184" s="435"/>
    </row>
    <row r="185" spans="1:7" s="442" customFormat="1" ht="15" customHeight="1">
      <c r="A185" s="754" t="s">
        <v>1090</v>
      </c>
      <c r="B185" s="754">
        <v>841126</v>
      </c>
      <c r="C185" s="756" t="s">
        <v>1130</v>
      </c>
      <c r="D185" s="753">
        <v>10000</v>
      </c>
      <c r="E185" s="743">
        <f t="shared" si="6"/>
        <v>10</v>
      </c>
      <c r="F185" s="435"/>
      <c r="G185" s="435"/>
    </row>
    <row r="186" spans="1:7" s="442" customFormat="1" ht="15" customHeight="1">
      <c r="A186" s="754" t="s">
        <v>1090</v>
      </c>
      <c r="B186" s="754">
        <v>841126</v>
      </c>
      <c r="C186" s="450" t="s">
        <v>501</v>
      </c>
      <c r="D186" s="741">
        <v>33000000</v>
      </c>
      <c r="E186" s="743">
        <f t="shared" si="6"/>
        <v>33000</v>
      </c>
      <c r="F186" s="435"/>
      <c r="G186" s="435"/>
    </row>
    <row r="187" spans="1:7" s="442" customFormat="1" ht="23.25" customHeight="1">
      <c r="A187" s="754" t="s">
        <v>1090</v>
      </c>
      <c r="B187" s="754">
        <v>841126</v>
      </c>
      <c r="C187" s="450" t="s">
        <v>1295</v>
      </c>
      <c r="D187" s="741">
        <v>6726000</v>
      </c>
      <c r="E187" s="743">
        <f t="shared" si="6"/>
        <v>6726</v>
      </c>
      <c r="F187" s="435"/>
      <c r="G187" s="435"/>
    </row>
    <row r="188" spans="1:7" s="442" customFormat="1" ht="15">
      <c r="A188" s="754" t="s">
        <v>1090</v>
      </c>
      <c r="B188" s="754">
        <v>841126</v>
      </c>
      <c r="C188" s="756" t="s">
        <v>443</v>
      </c>
      <c r="D188" s="753">
        <v>30000</v>
      </c>
      <c r="E188" s="743">
        <f t="shared" si="6"/>
        <v>30</v>
      </c>
      <c r="F188" s="435"/>
      <c r="G188" s="435"/>
    </row>
    <row r="189" spans="1:7" s="442" customFormat="1" ht="15">
      <c r="A189" s="754" t="s">
        <v>1090</v>
      </c>
      <c r="B189" s="754">
        <v>841126</v>
      </c>
      <c r="C189" s="756" t="s">
        <v>373</v>
      </c>
      <c r="D189" s="753">
        <f>1544247+12*735356</f>
        <v>10368519</v>
      </c>
      <c r="E189" s="743">
        <f t="shared" si="6"/>
        <v>10369</v>
      </c>
      <c r="F189" s="435"/>
      <c r="G189" s="435"/>
    </row>
    <row r="190" spans="1:7" s="442" customFormat="1" ht="15">
      <c r="A190" s="757"/>
      <c r="B190" s="754"/>
      <c r="C190" s="746" t="s">
        <v>141</v>
      </c>
      <c r="D190" s="748"/>
      <c r="E190" s="1442">
        <f>SUM(E169:E189)</f>
        <v>57815</v>
      </c>
      <c r="G190" s="435"/>
    </row>
    <row r="191" spans="1:7" s="442" customFormat="1" ht="27" customHeight="1">
      <c r="A191" s="148"/>
      <c r="B191" s="141"/>
      <c r="C191" s="143"/>
      <c r="D191" s="144"/>
      <c r="E191" s="144"/>
      <c r="G191" s="435"/>
    </row>
    <row r="192" spans="1:7" s="442" customFormat="1" ht="27" customHeight="1">
      <c r="A192" s="148"/>
      <c r="B192" s="141"/>
      <c r="C192" s="373"/>
      <c r="D192" s="420"/>
      <c r="E192" s="426"/>
      <c r="G192" s="435"/>
    </row>
    <row r="193" spans="1:7" s="442" customFormat="1" ht="27" customHeight="1">
      <c r="A193" s="2474" t="s">
        <v>186</v>
      </c>
      <c r="B193" s="2474"/>
      <c r="C193" s="2474"/>
      <c r="D193" s="2474"/>
      <c r="E193" s="479">
        <f>E190</f>
        <v>57815</v>
      </c>
      <c r="G193" s="435"/>
    </row>
    <row r="194" spans="1:7" s="442" customFormat="1" ht="15">
      <c r="A194" s="344"/>
      <c r="B194" s="476"/>
      <c r="C194" s="344"/>
      <c r="D194" s="260"/>
      <c r="E194" s="344"/>
      <c r="G194" s="435"/>
    </row>
    <row r="195" spans="1:7" s="442" customFormat="1" ht="15.75">
      <c r="A195" s="2472" t="s">
        <v>1375</v>
      </c>
      <c r="B195" s="2472"/>
      <c r="C195" s="2472"/>
      <c r="D195" s="2472"/>
      <c r="E195" s="483"/>
      <c r="G195" s="435"/>
    </row>
    <row r="196" spans="1:7" s="442" customFormat="1" ht="15">
      <c r="A196" s="344"/>
      <c r="B196" s="476"/>
      <c r="C196" s="344"/>
      <c r="D196" s="260"/>
      <c r="E196" s="344"/>
      <c r="G196" s="435"/>
    </row>
    <row r="197" spans="1:7" s="442" customFormat="1" ht="15">
      <c r="A197" s="344"/>
      <c r="B197" s="476"/>
      <c r="C197" s="344"/>
      <c r="D197" s="260"/>
      <c r="E197" s="344"/>
      <c r="G197" s="435"/>
    </row>
    <row r="198" spans="1:7" s="442" customFormat="1" ht="15">
      <c r="A198" s="2481" t="s">
        <v>1374</v>
      </c>
      <c r="B198" s="2481"/>
      <c r="C198" s="2481"/>
      <c r="D198" s="2481"/>
      <c r="E198" s="2481"/>
      <c r="G198" s="435"/>
    </row>
    <row r="199" spans="1:7" s="442" customFormat="1" ht="15">
      <c r="A199" s="344"/>
      <c r="B199" s="476"/>
      <c r="C199" s="344"/>
      <c r="D199" s="260"/>
      <c r="E199" s="344"/>
      <c r="G199" s="435"/>
    </row>
    <row r="200" spans="1:7" s="442" customFormat="1" ht="15">
      <c r="A200" s="2473" t="s">
        <v>187</v>
      </c>
      <c r="B200" s="2473"/>
      <c r="C200" s="2473"/>
      <c r="D200" s="2473"/>
      <c r="E200" s="2473"/>
      <c r="G200" s="435"/>
    </row>
    <row r="201" spans="1:7" s="436" customFormat="1" ht="15">
      <c r="A201" s="122"/>
      <c r="B201" s="476"/>
      <c r="C201" s="122"/>
      <c r="D201" s="671"/>
      <c r="E201" s="122"/>
      <c r="G201" s="443"/>
    </row>
    <row r="202" spans="1:7" s="436" customFormat="1" ht="15.75">
      <c r="A202" s="148">
        <v>91111</v>
      </c>
      <c r="B202" s="141"/>
      <c r="C202" s="143" t="s">
        <v>1313</v>
      </c>
      <c r="D202" s="671"/>
      <c r="E202" s="144">
        <v>3500</v>
      </c>
      <c r="G202" s="443"/>
    </row>
    <row r="203" spans="1:7" s="436" customFormat="1" ht="15">
      <c r="A203" s="122"/>
      <c r="B203" s="476"/>
      <c r="C203" s="122"/>
      <c r="D203" s="671"/>
      <c r="E203" s="122"/>
      <c r="G203" s="443"/>
    </row>
    <row r="204" spans="1:7" s="442" customFormat="1" ht="15.75">
      <c r="A204" s="2474" t="s">
        <v>677</v>
      </c>
      <c r="B204" s="2474"/>
      <c r="C204" s="2474"/>
      <c r="D204" s="2474"/>
      <c r="E204" s="479">
        <f>+E202</f>
        <v>3500</v>
      </c>
      <c r="G204" s="435"/>
    </row>
    <row r="205" spans="1:7" s="442" customFormat="1" ht="15">
      <c r="A205" s="344"/>
      <c r="B205" s="476"/>
      <c r="C205" s="344"/>
      <c r="D205" s="260"/>
      <c r="E205" s="344"/>
      <c r="G205" s="435"/>
    </row>
    <row r="206" spans="1:7" s="442" customFormat="1" ht="15">
      <c r="A206" s="2473" t="s">
        <v>1411</v>
      </c>
      <c r="B206" s="2473"/>
      <c r="C206" s="2473"/>
      <c r="D206" s="2473"/>
      <c r="E206" s="2473"/>
      <c r="G206" s="435"/>
    </row>
    <row r="207" spans="1:7" s="442" customFormat="1" ht="15">
      <c r="A207" s="344"/>
      <c r="B207" s="476"/>
      <c r="C207" s="344"/>
      <c r="D207" s="260"/>
      <c r="E207" s="344"/>
      <c r="G207" s="435"/>
    </row>
    <row r="208" spans="1:7" s="442" customFormat="1" ht="15.75">
      <c r="A208" s="2474" t="s">
        <v>687</v>
      </c>
      <c r="B208" s="2474"/>
      <c r="C208" s="2474"/>
      <c r="D208" s="2474"/>
      <c r="E208" s="479"/>
      <c r="G208" s="435"/>
    </row>
    <row r="209" spans="1:7" s="442" customFormat="1" ht="15">
      <c r="A209" s="344"/>
      <c r="B209" s="476"/>
      <c r="C209" s="344"/>
      <c r="D209" s="260"/>
      <c r="E209" s="344"/>
      <c r="G209" s="435"/>
    </row>
    <row r="210" spans="1:7" s="442" customFormat="1" ht="15">
      <c r="A210" s="344"/>
      <c r="B210" s="476"/>
      <c r="C210" s="344"/>
      <c r="D210" s="260"/>
      <c r="E210" s="344"/>
      <c r="G210" s="435"/>
    </row>
    <row r="211" spans="1:7" s="442" customFormat="1" ht="15">
      <c r="A211" s="2473" t="s">
        <v>689</v>
      </c>
      <c r="B211" s="2473"/>
      <c r="C211" s="2473"/>
      <c r="D211" s="2473"/>
      <c r="E211" s="2473"/>
      <c r="G211" s="435"/>
    </row>
    <row r="212" spans="1:7" s="436" customFormat="1" ht="15">
      <c r="A212" s="122"/>
      <c r="B212" s="476"/>
      <c r="C212" s="122"/>
      <c r="D212" s="671"/>
      <c r="E212" s="122"/>
      <c r="G212" s="443"/>
    </row>
    <row r="213" spans="1:7" s="436" customFormat="1" ht="15">
      <c r="A213" s="430">
        <v>464155</v>
      </c>
      <c r="B213" s="446"/>
      <c r="C213" s="746" t="s">
        <v>1420</v>
      </c>
      <c r="D213" s="753">
        <f>+'bejáró 2012'!H36</f>
        <v>32601738.479081213</v>
      </c>
      <c r="E213" s="753">
        <f>+ROUND(D213,-3)/1000</f>
        <v>32602</v>
      </c>
      <c r="G213" s="443"/>
    </row>
    <row r="214" spans="1:7" s="436" customFormat="1" ht="15">
      <c r="A214" s="430">
        <v>4641513</v>
      </c>
      <c r="B214" s="446"/>
      <c r="C214" s="746" t="s">
        <v>1421</v>
      </c>
      <c r="D214" s="753">
        <f>'Körjegyzőség 2012'!E13</f>
        <v>14807.84120126862</v>
      </c>
      <c r="E214" s="753">
        <f>'Körjegyzőség 2012'!E13</f>
        <v>14807.84120126862</v>
      </c>
      <c r="G214" s="443"/>
    </row>
    <row r="215" spans="1:7" s="436" customFormat="1" ht="15">
      <c r="A215" s="430">
        <v>464122</v>
      </c>
      <c r="B215" s="446"/>
      <c r="C215" s="746" t="s">
        <v>499</v>
      </c>
      <c r="D215" s="1435">
        <f>33431856</f>
        <v>33431856</v>
      </c>
      <c r="E215" s="753">
        <f>ROUND(D215,-3)/1000</f>
        <v>33432</v>
      </c>
      <c r="G215" s="443"/>
    </row>
    <row r="216" spans="1:7" s="436" customFormat="1" ht="15">
      <c r="A216" s="430">
        <v>464121</v>
      </c>
      <c r="B216" s="446"/>
      <c r="C216" s="739" t="s">
        <v>1822</v>
      </c>
      <c r="D216" s="751">
        <f>Bérek2012!Y51+Bérek2012!Z51</f>
        <v>1613280</v>
      </c>
      <c r="E216" s="741">
        <f>+ROUND(D216,-3)/1000</f>
        <v>1613</v>
      </c>
      <c r="G216" s="443"/>
    </row>
    <row r="217" spans="1:7" s="436" customFormat="1" ht="15.75">
      <c r="A217" s="148"/>
      <c r="B217" s="141"/>
      <c r="C217" s="484"/>
      <c r="D217" s="384"/>
      <c r="E217" s="484"/>
      <c r="G217" s="443"/>
    </row>
    <row r="218" spans="1:7" s="436" customFormat="1" ht="15.75">
      <c r="A218" s="477">
        <v>46416</v>
      </c>
      <c r="B218" s="478"/>
      <c r="C218" s="478" t="s">
        <v>1442</v>
      </c>
      <c r="D218" s="671"/>
      <c r="E218" s="148"/>
      <c r="G218" s="443"/>
    </row>
    <row r="219" spans="1:7" s="436" customFormat="1" ht="15">
      <c r="A219" s="122"/>
      <c r="B219" s="476"/>
      <c r="C219" s="122"/>
      <c r="D219" s="671"/>
      <c r="E219" s="122"/>
      <c r="G219" s="443"/>
    </row>
    <row r="220" spans="1:7" s="436" customFormat="1" ht="15">
      <c r="A220" s="430">
        <v>4641621</v>
      </c>
      <c r="B220" s="446"/>
      <c r="C220" s="739" t="s">
        <v>1408</v>
      </c>
      <c r="D220" s="740"/>
      <c r="E220" s="741">
        <f>+'841126-166-Többc.munk.sz.'!E37</f>
        <v>19203</v>
      </c>
      <c r="G220" s="443"/>
    </row>
    <row r="221" spans="1:7" s="436" customFormat="1" ht="15">
      <c r="A221" s="430">
        <v>4641622</v>
      </c>
      <c r="B221" s="446"/>
      <c r="C221" s="739" t="s">
        <v>1409</v>
      </c>
      <c r="D221" s="740"/>
      <c r="E221" s="741">
        <v>1549</v>
      </c>
      <c r="G221" s="443"/>
    </row>
    <row r="222" spans="1:7" s="436" customFormat="1" ht="15">
      <c r="A222" s="430">
        <v>4641623</v>
      </c>
      <c r="B222" s="446"/>
      <c r="C222" s="739" t="s">
        <v>1086</v>
      </c>
      <c r="D222" s="740"/>
      <c r="E222" s="741">
        <f>43744-12000</f>
        <v>31744</v>
      </c>
      <c r="G222" s="443"/>
    </row>
    <row r="223" spans="1:7" s="442" customFormat="1" ht="15">
      <c r="A223" s="742" t="s">
        <v>1304</v>
      </c>
      <c r="B223" s="369"/>
      <c r="C223" s="468" t="s">
        <v>1884</v>
      </c>
      <c r="D223" s="743"/>
      <c r="E223" s="743">
        <f>'-Eseti pénz.szoc.ell.'!E38</f>
        <v>880</v>
      </c>
      <c r="G223" s="435"/>
    </row>
    <row r="224" spans="1:7" s="442" customFormat="1" ht="15">
      <c r="A224" s="742" t="s">
        <v>1304</v>
      </c>
      <c r="B224" s="369"/>
      <c r="C224" s="468" t="s">
        <v>1094</v>
      </c>
      <c r="D224" s="743"/>
      <c r="E224" s="743">
        <f>'890441-Közcélú 2012'!D71</f>
        <v>96348</v>
      </c>
      <c r="G224" s="435"/>
    </row>
    <row r="225" spans="1:7" s="442" customFormat="1" ht="15">
      <c r="A225" s="742" t="s">
        <v>1304</v>
      </c>
      <c r="B225" s="369"/>
      <c r="C225" s="746" t="s">
        <v>1013</v>
      </c>
      <c r="D225" s="747"/>
      <c r="E225" s="748">
        <v>0</v>
      </c>
      <c r="G225" s="435"/>
    </row>
    <row r="226" spans="1:7" s="442" customFormat="1" ht="15">
      <c r="A226" s="742" t="s">
        <v>1304</v>
      </c>
      <c r="B226" s="369"/>
      <c r="C226" s="744" t="s">
        <v>1971</v>
      </c>
      <c r="D226" s="745"/>
      <c r="E226" s="743"/>
      <c r="G226" s="435"/>
    </row>
    <row r="227" spans="1:7" s="442" customFormat="1" ht="15">
      <c r="A227" s="742" t="s">
        <v>1304</v>
      </c>
      <c r="B227" s="369"/>
      <c r="C227" s="744" t="s">
        <v>500</v>
      </c>
      <c r="D227" s="745"/>
      <c r="E227" s="743"/>
      <c r="G227" s="435"/>
    </row>
    <row r="228" spans="1:7" s="442" customFormat="1" ht="15">
      <c r="A228" s="742" t="s">
        <v>1304</v>
      </c>
      <c r="B228" s="369"/>
      <c r="C228" s="746" t="s">
        <v>228</v>
      </c>
      <c r="D228" s="747"/>
      <c r="E228" s="748">
        <v>150</v>
      </c>
      <c r="G228" s="435"/>
    </row>
    <row r="229" spans="1:7" s="442" customFormat="1" ht="15">
      <c r="A229" s="742" t="s">
        <v>1304</v>
      </c>
      <c r="B229" s="369"/>
      <c r="C229" s="756" t="s">
        <v>1131</v>
      </c>
      <c r="D229" s="747"/>
      <c r="E229" s="748">
        <f>+'S.udvarhelyi.tagiskola.kts.tér.'!B12</f>
        <v>1392</v>
      </c>
      <c r="F229" s="444"/>
      <c r="G229" s="435"/>
    </row>
    <row r="230" spans="1:7" s="442" customFormat="1" ht="15">
      <c r="A230" s="742" t="s">
        <v>1304</v>
      </c>
      <c r="B230" s="369"/>
      <c r="C230" s="749" t="s">
        <v>1303</v>
      </c>
      <c r="D230" s="745"/>
      <c r="E230" s="743"/>
      <c r="F230" s="444"/>
      <c r="G230" s="435"/>
    </row>
    <row r="231" spans="1:7" s="442" customFormat="1" ht="15">
      <c r="A231" s="742" t="s">
        <v>1304</v>
      </c>
      <c r="B231" s="369"/>
      <c r="C231" s="749" t="s">
        <v>1307</v>
      </c>
      <c r="D231" s="745"/>
      <c r="E231" s="743">
        <f>'841127-118-Kisebbségi önk.'!E80</f>
        <v>1200</v>
      </c>
      <c r="F231" s="444"/>
      <c r="G231" s="435"/>
    </row>
    <row r="232" spans="1:7" s="442" customFormat="1" ht="15">
      <c r="A232" s="742" t="s">
        <v>1304</v>
      </c>
      <c r="B232" s="369"/>
      <c r="C232" s="749" t="s">
        <v>1879</v>
      </c>
      <c r="D232" s="745">
        <f>12*488800</f>
        <v>5865600</v>
      </c>
      <c r="E232" s="743">
        <f>+ROUND(D232,-3)/1000</f>
        <v>5866</v>
      </c>
      <c r="F232" s="444"/>
      <c r="G232" s="435"/>
    </row>
    <row r="233" spans="1:7" s="442" customFormat="1" ht="15">
      <c r="A233" s="742"/>
      <c r="B233" s="369"/>
      <c r="C233" s="750" t="s">
        <v>561</v>
      </c>
      <c r="D233" s="745"/>
      <c r="E233" s="743"/>
      <c r="F233" s="444"/>
      <c r="G233" s="435"/>
    </row>
    <row r="234" spans="1:7" s="442" customFormat="1" ht="15.75">
      <c r="A234" s="2474" t="s">
        <v>197</v>
      </c>
      <c r="B234" s="2474"/>
      <c r="C234" s="2474"/>
      <c r="D234" s="2474"/>
      <c r="E234" s="479">
        <f>SUM(E213:E232)</f>
        <v>240786.8412012686</v>
      </c>
      <c r="G234" s="435"/>
    </row>
    <row r="235" spans="1:7" s="442" customFormat="1" ht="15.75">
      <c r="A235" s="485"/>
      <c r="B235" s="486"/>
      <c r="C235" s="485"/>
      <c r="D235" s="674"/>
      <c r="E235" s="488"/>
      <c r="G235" s="435"/>
    </row>
    <row r="236" spans="1:7" s="442" customFormat="1" ht="15.75">
      <c r="A236" s="485"/>
      <c r="B236" s="486"/>
      <c r="C236" s="626" t="s">
        <v>1633</v>
      </c>
      <c r="D236" s="675"/>
      <c r="E236" s="488">
        <f>+D237+D238</f>
        <v>0</v>
      </c>
      <c r="G236" s="435"/>
    </row>
    <row r="237" spans="1:7" s="442" customFormat="1" ht="15.75">
      <c r="A237" s="485"/>
      <c r="B237" s="486"/>
      <c r="C237" s="487"/>
      <c r="D237" s="676">
        <v>0</v>
      </c>
      <c r="E237" s="488"/>
      <c r="G237" s="435"/>
    </row>
    <row r="238" spans="1:7" s="442" customFormat="1" ht="15.75">
      <c r="A238" s="485"/>
      <c r="B238" s="486"/>
      <c r="C238" s="487"/>
      <c r="D238" s="676">
        <v>0</v>
      </c>
      <c r="E238" s="488"/>
      <c r="G238" s="435"/>
    </row>
    <row r="239" spans="1:7" s="442" customFormat="1" ht="15">
      <c r="A239" s="489" t="s">
        <v>787</v>
      </c>
      <c r="B239" s="490"/>
      <c r="C239" s="489"/>
      <c r="D239" s="491"/>
      <c r="E239" s="491">
        <f>+E236</f>
        <v>0</v>
      </c>
      <c r="G239" s="435"/>
    </row>
    <row r="240" spans="1:7" s="442" customFormat="1" ht="15.75">
      <c r="A240" s="2472" t="s">
        <v>1376</v>
      </c>
      <c r="B240" s="2472"/>
      <c r="C240" s="2472"/>
      <c r="D240" s="2472"/>
      <c r="E240" s="483"/>
      <c r="G240" s="435"/>
    </row>
    <row r="241" spans="1:7" s="442" customFormat="1" ht="15.75">
      <c r="A241" s="440"/>
      <c r="B241" s="441"/>
      <c r="C241" s="440"/>
      <c r="D241" s="443"/>
      <c r="E241" s="434"/>
      <c r="G241" s="435"/>
    </row>
    <row r="242" spans="1:7" s="442" customFormat="1" ht="15.75">
      <c r="A242" s="440"/>
      <c r="B242" s="441"/>
      <c r="C242" s="440"/>
      <c r="D242" s="443"/>
      <c r="E242" s="434"/>
      <c r="G242" s="435"/>
    </row>
    <row r="243" spans="1:7" s="442" customFormat="1" ht="15.75">
      <c r="A243" s="440"/>
      <c r="B243" s="441"/>
      <c r="C243" s="440"/>
      <c r="D243" s="443"/>
      <c r="E243" s="434"/>
      <c r="G243" s="435"/>
    </row>
    <row r="244" spans="1:7" s="442" customFormat="1" ht="15.75">
      <c r="A244" s="440"/>
      <c r="B244" s="441"/>
      <c r="C244" s="440"/>
      <c r="D244" s="443"/>
      <c r="E244" s="434"/>
      <c r="G244" s="435"/>
    </row>
    <row r="245" spans="1:7" s="442" customFormat="1" ht="15.75">
      <c r="A245" s="440"/>
      <c r="B245" s="441"/>
      <c r="C245" s="440"/>
      <c r="D245" s="443"/>
      <c r="E245" s="434"/>
      <c r="G245" s="435"/>
    </row>
    <row r="246" spans="1:7" s="442" customFormat="1" ht="15.75">
      <c r="A246" s="440"/>
      <c r="B246" s="441"/>
      <c r="C246" s="440"/>
      <c r="D246" s="443"/>
      <c r="E246" s="434"/>
      <c r="G246" s="435"/>
    </row>
    <row r="247" spans="1:7" s="442" customFormat="1" ht="15.75">
      <c r="A247" s="440"/>
      <c r="B247" s="441"/>
      <c r="C247" s="440"/>
      <c r="D247" s="443"/>
      <c r="E247" s="434"/>
      <c r="G247" s="435"/>
    </row>
    <row r="248" spans="1:7" s="442" customFormat="1" ht="15.75">
      <c r="A248" s="440"/>
      <c r="B248" s="441"/>
      <c r="C248" s="440"/>
      <c r="D248" s="443"/>
      <c r="E248" s="434"/>
      <c r="G248" s="435"/>
    </row>
    <row r="249" spans="1:7" s="442" customFormat="1" ht="15.75">
      <c r="A249" s="440"/>
      <c r="B249" s="441"/>
      <c r="C249" s="440"/>
      <c r="D249" s="443"/>
      <c r="E249" s="434"/>
      <c r="G249" s="435"/>
    </row>
    <row r="250" spans="1:7" s="442" customFormat="1" ht="15.75">
      <c r="A250" s="440"/>
      <c r="B250" s="441"/>
      <c r="C250" s="440"/>
      <c r="D250" s="443"/>
      <c r="E250" s="434"/>
      <c r="G250" s="435"/>
    </row>
    <row r="251" spans="1:7" s="442" customFormat="1" ht="15.75">
      <c r="A251" s="440"/>
      <c r="B251" s="441"/>
      <c r="C251" s="440"/>
      <c r="D251" s="443"/>
      <c r="E251" s="434"/>
      <c r="G251" s="435"/>
    </row>
    <row r="252" spans="1:7" s="442" customFormat="1" ht="15.75">
      <c r="A252" s="440"/>
      <c r="B252" s="441"/>
      <c r="C252" s="440"/>
      <c r="D252" s="443"/>
      <c r="E252" s="434"/>
      <c r="G252" s="435"/>
    </row>
    <row r="253" spans="1:7" s="442" customFormat="1" ht="15.75">
      <c r="A253" s="440"/>
      <c r="B253" s="441"/>
      <c r="C253" s="440"/>
      <c r="D253" s="443"/>
      <c r="E253" s="434"/>
      <c r="G253" s="435"/>
    </row>
    <row r="254" spans="1:7" s="442" customFormat="1" ht="15.75">
      <c r="A254" s="440"/>
      <c r="B254" s="441"/>
      <c r="C254" s="440"/>
      <c r="D254" s="443"/>
      <c r="E254" s="434"/>
      <c r="G254" s="435"/>
    </row>
    <row r="255" spans="1:7" s="442" customFormat="1" ht="15.75">
      <c r="A255" s="440"/>
      <c r="B255" s="441"/>
      <c r="C255" s="440"/>
      <c r="D255" s="443"/>
      <c r="E255" s="434"/>
      <c r="G255" s="435"/>
    </row>
    <row r="256" spans="1:7" s="442" customFormat="1" ht="15.75">
      <c r="A256" s="440"/>
      <c r="B256" s="441"/>
      <c r="C256" s="440"/>
      <c r="D256" s="443"/>
      <c r="E256" s="434"/>
      <c r="G256" s="435"/>
    </row>
    <row r="257" spans="1:7" s="442" customFormat="1" ht="15.75">
      <c r="A257" s="440"/>
      <c r="B257" s="441"/>
      <c r="C257" s="440"/>
      <c r="D257" s="443"/>
      <c r="E257" s="434"/>
      <c r="G257" s="435"/>
    </row>
    <row r="258" spans="1:7" s="442" customFormat="1" ht="15.75">
      <c r="A258" s="440"/>
      <c r="B258" s="441"/>
      <c r="C258" s="440"/>
      <c r="D258" s="443"/>
      <c r="E258" s="434"/>
      <c r="G258" s="435"/>
    </row>
    <row r="259" spans="1:7" s="442" customFormat="1" ht="15.75">
      <c r="A259" s="440"/>
      <c r="B259" s="441"/>
      <c r="C259" s="440"/>
      <c r="D259" s="443"/>
      <c r="E259" s="434"/>
      <c r="G259" s="435"/>
    </row>
    <row r="260" spans="1:7" s="442" customFormat="1" ht="15.75">
      <c r="A260" s="440"/>
      <c r="B260" s="441"/>
      <c r="C260" s="440"/>
      <c r="D260" s="443"/>
      <c r="E260" s="434"/>
      <c r="G260" s="435"/>
    </row>
    <row r="261" spans="1:7" s="442" customFormat="1" ht="15.75">
      <c r="A261" s="440"/>
      <c r="B261" s="441"/>
      <c r="C261" s="440"/>
      <c r="D261" s="443"/>
      <c r="E261" s="434"/>
      <c r="G261" s="435"/>
    </row>
    <row r="262" spans="1:7" s="442" customFormat="1" ht="15.75">
      <c r="A262" s="440"/>
      <c r="B262" s="441"/>
      <c r="C262" s="440"/>
      <c r="D262" s="443"/>
      <c r="E262" s="434"/>
      <c r="G262" s="435"/>
    </row>
  </sheetData>
  <sheetProtection/>
  <mergeCells count="20">
    <mergeCell ref="A137:D137"/>
    <mergeCell ref="A234:D234"/>
    <mergeCell ref="A195:D195"/>
    <mergeCell ref="A198:E198"/>
    <mergeCell ref="A200:E200"/>
    <mergeCell ref="A204:D204"/>
    <mergeCell ref="A193:D193"/>
    <mergeCell ref="A156:E156"/>
    <mergeCell ref="A165:D165"/>
    <mergeCell ref="A211:E211"/>
    <mergeCell ref="G89:I89"/>
    <mergeCell ref="A4:E4"/>
    <mergeCell ref="A49:D49"/>
    <mergeCell ref="A52:D52"/>
    <mergeCell ref="A240:D240"/>
    <mergeCell ref="A206:E206"/>
    <mergeCell ref="A208:D208"/>
    <mergeCell ref="A152:E152"/>
    <mergeCell ref="A154:D154"/>
    <mergeCell ref="A167:E16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rowBreaks count="4" manualBreakCount="4">
    <brk id="53" max="4" man="1"/>
    <brk id="137" max="4" man="1"/>
    <brk id="165" max="4" man="1"/>
    <brk id="209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C29"/>
  <sheetViews>
    <sheetView view="pageBreakPreview" zoomScale="80" zoomScaleNormal="90" zoomScaleSheetLayoutView="80" zoomScalePageLayoutView="0" workbookViewId="0" topLeftCell="O1">
      <selection activeCell="D23" sqref="D23"/>
    </sheetView>
  </sheetViews>
  <sheetFormatPr defaultColWidth="9.140625" defaultRowHeight="12.75"/>
  <cols>
    <col min="1" max="1" width="27.140625" style="183" customWidth="1"/>
    <col min="2" max="2" width="12.7109375" style="184" customWidth="1"/>
    <col min="3" max="5" width="10.57421875" style="184" customWidth="1"/>
    <col min="6" max="6" width="9.8515625" style="184" customWidth="1"/>
    <col min="7" max="8" width="9.28125" style="184" customWidth="1"/>
    <col min="9" max="9" width="9.421875" style="184" customWidth="1"/>
    <col min="10" max="10" width="10.140625" style="184" customWidth="1"/>
    <col min="11" max="11" width="9.140625" style="184" customWidth="1"/>
    <col min="12" max="12" width="10.57421875" style="184" customWidth="1"/>
    <col min="13" max="13" width="9.140625" style="184" customWidth="1"/>
    <col min="14" max="14" width="9.00390625" style="184" customWidth="1"/>
    <col min="15" max="18" width="10.421875" style="184" customWidth="1"/>
    <col min="19" max="19" width="7.421875" style="184" customWidth="1"/>
    <col min="20" max="20" width="10.421875" style="184" customWidth="1"/>
    <col min="21" max="21" width="11.57421875" style="184" customWidth="1"/>
    <col min="22" max="22" width="9.421875" style="184" customWidth="1"/>
    <col min="23" max="25" width="9.8515625" style="184" customWidth="1"/>
    <col min="26" max="26" width="10.00390625" style="184" customWidth="1"/>
    <col min="27" max="27" width="10.421875" style="184" customWidth="1"/>
    <col min="28" max="28" width="10.7109375" style="184" customWidth="1"/>
    <col min="29" max="16384" width="9.140625" style="184" customWidth="1"/>
  </cols>
  <sheetData>
    <row r="1" spans="26:29" ht="12.75">
      <c r="Z1" s="2388" t="s">
        <v>1248</v>
      </c>
      <c r="AA1" s="2388"/>
      <c r="AB1" s="2388"/>
      <c r="AC1" s="2388"/>
    </row>
    <row r="2" spans="1:26" ht="12.75">
      <c r="A2" s="2389" t="s">
        <v>1344</v>
      </c>
      <c r="B2" s="2389"/>
      <c r="C2" s="2389"/>
      <c r="D2" s="2389"/>
      <c r="E2" s="2389"/>
      <c r="F2" s="2389"/>
      <c r="G2" s="2389"/>
      <c r="H2" s="2389"/>
      <c r="I2" s="2389"/>
      <c r="J2" s="2389"/>
      <c r="K2" s="2389"/>
      <c r="L2" s="2389"/>
      <c r="M2" s="2389"/>
      <c r="N2" s="2389"/>
      <c r="O2" s="2389"/>
      <c r="P2" s="2389"/>
      <c r="Q2" s="2389"/>
      <c r="R2" s="2389"/>
      <c r="S2" s="2389"/>
      <c r="T2" s="2389"/>
      <c r="U2" s="2389"/>
      <c r="V2" s="2389"/>
      <c r="W2" s="2389"/>
      <c r="X2" s="2389"/>
      <c r="Y2" s="2389"/>
      <c r="Z2" s="2389"/>
    </row>
    <row r="3" spans="1:26" ht="39" customHeight="1">
      <c r="A3" s="2390" t="s">
        <v>2099</v>
      </c>
      <c r="B3" s="2390"/>
      <c r="C3" s="2390"/>
      <c r="D3" s="2390"/>
      <c r="E3" s="2390"/>
      <c r="F3" s="2390"/>
      <c r="G3" s="2390"/>
      <c r="H3" s="2390"/>
      <c r="I3" s="2390"/>
      <c r="J3" s="2390"/>
      <c r="K3" s="2390"/>
      <c r="L3" s="2390"/>
      <c r="M3" s="2390"/>
      <c r="N3" s="2390"/>
      <c r="O3" s="2390"/>
      <c r="P3" s="2390"/>
      <c r="Q3" s="2390"/>
      <c r="R3" s="2390"/>
      <c r="S3" s="2390"/>
      <c r="T3" s="2390"/>
      <c r="U3" s="2390"/>
      <c r="V3" s="2390"/>
      <c r="W3" s="2390"/>
      <c r="X3" s="2390"/>
      <c r="Y3" s="2390"/>
      <c r="Z3" s="2390"/>
    </row>
    <row r="4" spans="14:27" ht="12.75">
      <c r="N4" s="2392"/>
      <c r="O4" s="2392"/>
      <c r="P4" s="2392"/>
      <c r="Q4" s="2392"/>
      <c r="R4" s="2392"/>
      <c r="V4" s="2391" t="s">
        <v>1371</v>
      </c>
      <c r="W4" s="2391"/>
      <c r="X4" s="2391"/>
      <c r="Y4" s="2391"/>
      <c r="Z4" s="2391"/>
      <c r="AA4" s="2391"/>
    </row>
    <row r="5" spans="1:29" ht="12.75" customHeight="1">
      <c r="A5" s="2386" t="s">
        <v>1426</v>
      </c>
      <c r="B5" s="2381" t="s">
        <v>19</v>
      </c>
      <c r="C5" s="2382"/>
      <c r="D5" s="2382"/>
      <c r="E5" s="2371"/>
      <c r="F5" s="2375" t="s">
        <v>230</v>
      </c>
      <c r="G5" s="2376"/>
      <c r="H5" s="2376"/>
      <c r="I5" s="2377"/>
      <c r="J5" s="2375" t="s">
        <v>1239</v>
      </c>
      <c r="K5" s="2376"/>
      <c r="L5" s="2376"/>
      <c r="M5" s="2377"/>
      <c r="N5" s="2366" t="s">
        <v>1240</v>
      </c>
      <c r="O5" s="2367"/>
      <c r="P5" s="2367"/>
      <c r="Q5" s="2367"/>
      <c r="R5" s="2367"/>
      <c r="S5" s="2367"/>
      <c r="T5" s="2367"/>
      <c r="U5" s="2368"/>
      <c r="V5" s="2375" t="s">
        <v>1537</v>
      </c>
      <c r="W5" s="2376"/>
      <c r="X5" s="2376"/>
      <c r="Y5" s="2377"/>
      <c r="Z5" s="2375" t="s">
        <v>1431</v>
      </c>
      <c r="AA5" s="2376"/>
      <c r="AB5" s="2376"/>
      <c r="AC5" s="2377"/>
    </row>
    <row r="6" spans="1:29" ht="39" customHeight="1">
      <c r="A6" s="2379"/>
      <c r="B6" s="2372"/>
      <c r="C6" s="2373"/>
      <c r="D6" s="2373"/>
      <c r="E6" s="2374"/>
      <c r="F6" s="2378"/>
      <c r="G6" s="2361"/>
      <c r="H6" s="2361"/>
      <c r="I6" s="2362"/>
      <c r="J6" s="2378"/>
      <c r="K6" s="2361"/>
      <c r="L6" s="2361"/>
      <c r="M6" s="2362"/>
      <c r="N6" s="2363" t="s">
        <v>1242</v>
      </c>
      <c r="O6" s="2364"/>
      <c r="P6" s="2364"/>
      <c r="Q6" s="2365"/>
      <c r="R6" s="2363" t="s">
        <v>231</v>
      </c>
      <c r="S6" s="2364"/>
      <c r="T6" s="2364"/>
      <c r="U6" s="2365"/>
      <c r="V6" s="2378"/>
      <c r="W6" s="2361"/>
      <c r="X6" s="2361"/>
      <c r="Y6" s="2362"/>
      <c r="Z6" s="2378"/>
      <c r="AA6" s="2361"/>
      <c r="AB6" s="2361"/>
      <c r="AC6" s="2362"/>
    </row>
    <row r="7" spans="1:29" ht="12.75">
      <c r="A7" s="2380"/>
      <c r="B7" s="922" t="s">
        <v>1415</v>
      </c>
      <c r="C7" s="922" t="s">
        <v>1538</v>
      </c>
      <c r="D7" s="922" t="s">
        <v>822</v>
      </c>
      <c r="E7" s="2036" t="s">
        <v>1353</v>
      </c>
      <c r="F7" s="922" t="s">
        <v>1415</v>
      </c>
      <c r="G7" s="922" t="s">
        <v>1538</v>
      </c>
      <c r="H7" s="922" t="s">
        <v>822</v>
      </c>
      <c r="I7" s="2036" t="s">
        <v>1353</v>
      </c>
      <c r="J7" s="922" t="s">
        <v>1415</v>
      </c>
      <c r="K7" s="922" t="s">
        <v>1538</v>
      </c>
      <c r="L7" s="922" t="s">
        <v>822</v>
      </c>
      <c r="M7" s="2036" t="s">
        <v>1353</v>
      </c>
      <c r="N7" s="922" t="s">
        <v>1415</v>
      </c>
      <c r="O7" s="922" t="s">
        <v>1538</v>
      </c>
      <c r="P7" s="922" t="s">
        <v>822</v>
      </c>
      <c r="Q7" s="2036" t="s">
        <v>1353</v>
      </c>
      <c r="R7" s="922" t="s">
        <v>1415</v>
      </c>
      <c r="S7" s="922" t="s">
        <v>1538</v>
      </c>
      <c r="T7" s="922" t="s">
        <v>822</v>
      </c>
      <c r="U7" s="2036" t="s">
        <v>1353</v>
      </c>
      <c r="V7" s="922" t="s">
        <v>1415</v>
      </c>
      <c r="W7" s="922" t="s">
        <v>1538</v>
      </c>
      <c r="X7" s="922" t="s">
        <v>822</v>
      </c>
      <c r="Y7" s="2036" t="s">
        <v>1353</v>
      </c>
      <c r="Z7" s="922" t="s">
        <v>1415</v>
      </c>
      <c r="AA7" s="922" t="s">
        <v>1538</v>
      </c>
      <c r="AB7" s="922" t="s">
        <v>822</v>
      </c>
      <c r="AC7" s="2036" t="s">
        <v>1353</v>
      </c>
    </row>
    <row r="8" spans="1:29" ht="12.75">
      <c r="A8" s="2393" t="s">
        <v>232</v>
      </c>
      <c r="B8" s="2394"/>
      <c r="C8" s="2394"/>
      <c r="D8" s="2394"/>
      <c r="E8" s="2394"/>
      <c r="F8" s="2394"/>
      <c r="G8" s="2394"/>
      <c r="H8" s="2394"/>
      <c r="I8" s="2394"/>
      <c r="J8" s="2394"/>
      <c r="K8" s="2394"/>
      <c r="L8" s="2394"/>
      <c r="M8" s="2394"/>
      <c r="N8" s="2394"/>
      <c r="O8" s="2394"/>
      <c r="P8" s="2394"/>
      <c r="Q8" s="2394"/>
      <c r="R8" s="2394"/>
      <c r="S8" s="2394"/>
      <c r="T8" s="2394"/>
      <c r="U8" s="2394"/>
      <c r="V8" s="2394"/>
      <c r="W8" s="2394"/>
      <c r="X8" s="2394"/>
      <c r="Y8" s="2394"/>
      <c r="Z8" s="2394"/>
      <c r="AA8" s="2394"/>
      <c r="AB8" s="2394"/>
      <c r="AC8" s="2395"/>
    </row>
    <row r="9" spans="1:29" ht="6.75" customHeight="1">
      <c r="A9" s="2383"/>
      <c r="B9" s="2384"/>
      <c r="C9" s="2384"/>
      <c r="D9" s="2384"/>
      <c r="E9" s="2384"/>
      <c r="F9" s="2384"/>
      <c r="G9" s="2384"/>
      <c r="H9" s="2384"/>
      <c r="I9" s="2384"/>
      <c r="J9" s="2384"/>
      <c r="K9" s="2384"/>
      <c r="L9" s="2384"/>
      <c r="M9" s="2384"/>
      <c r="N9" s="2384"/>
      <c r="O9" s="2384"/>
      <c r="P9" s="2384"/>
      <c r="Q9" s="2384"/>
      <c r="R9" s="2384"/>
      <c r="S9" s="2384"/>
      <c r="T9" s="2384"/>
      <c r="U9" s="2384"/>
      <c r="V9" s="2384"/>
      <c r="W9" s="2384"/>
      <c r="X9" s="2384"/>
      <c r="Y9" s="2384"/>
      <c r="Z9" s="2384"/>
      <c r="AA9" s="2384"/>
      <c r="AB9" s="2384"/>
      <c r="AC9" s="2385"/>
    </row>
    <row r="10" spans="1:29" ht="15.75" customHeight="1">
      <c r="A10" s="186" t="s">
        <v>1482</v>
      </c>
      <c r="B10" s="187">
        <f aca="true" t="shared" si="0" ref="B10:X10">B11+B15+B16+B17</f>
        <v>26957</v>
      </c>
      <c r="C10" s="187">
        <f t="shared" si="0"/>
        <v>26957</v>
      </c>
      <c r="D10" s="192">
        <f t="shared" si="0"/>
        <v>40747</v>
      </c>
      <c r="E10" s="2037">
        <f>D10/C10</f>
        <v>1.5115554401454168</v>
      </c>
      <c r="F10" s="187">
        <f t="shared" si="0"/>
        <v>0</v>
      </c>
      <c r="G10" s="187">
        <f t="shared" si="0"/>
        <v>0</v>
      </c>
      <c r="H10" s="187">
        <f t="shared" si="0"/>
        <v>0</v>
      </c>
      <c r="I10" s="187"/>
      <c r="J10" s="187">
        <f t="shared" si="0"/>
        <v>0</v>
      </c>
      <c r="K10" s="187">
        <f t="shared" si="0"/>
        <v>0</v>
      </c>
      <c r="L10" s="192">
        <f t="shared" si="0"/>
        <v>0</v>
      </c>
      <c r="M10" s="187"/>
      <c r="N10" s="187">
        <f t="shared" si="0"/>
        <v>27668</v>
      </c>
      <c r="O10" s="187">
        <f t="shared" si="0"/>
        <v>27668</v>
      </c>
      <c r="P10" s="187">
        <f t="shared" si="0"/>
        <v>42860</v>
      </c>
      <c r="Q10" s="2156">
        <f>P10/O10</f>
        <v>1.5490819719531588</v>
      </c>
      <c r="R10" s="187">
        <f t="shared" si="0"/>
        <v>0</v>
      </c>
      <c r="S10" s="187">
        <f t="shared" si="0"/>
        <v>0</v>
      </c>
      <c r="T10" s="187">
        <f t="shared" si="0"/>
        <v>0</v>
      </c>
      <c r="U10" s="187"/>
      <c r="V10" s="187">
        <f t="shared" si="0"/>
        <v>0</v>
      </c>
      <c r="W10" s="187">
        <f t="shared" si="0"/>
        <v>0</v>
      </c>
      <c r="X10" s="187">
        <f t="shared" si="0"/>
        <v>0</v>
      </c>
      <c r="Y10" s="187"/>
      <c r="Z10" s="187">
        <f aca="true" t="shared" si="1" ref="Z10:AB11">+B10+F10+J10+N10+R10+V10</f>
        <v>54625</v>
      </c>
      <c r="AA10" s="187">
        <f t="shared" si="1"/>
        <v>54625</v>
      </c>
      <c r="AB10" s="187">
        <f t="shared" si="1"/>
        <v>83607</v>
      </c>
      <c r="AC10" s="2040">
        <f>AB10/AA10</f>
        <v>1.5305629290617848</v>
      </c>
    </row>
    <row r="11" spans="1:29" ht="14.25" customHeight="1">
      <c r="A11" s="188" t="s">
        <v>1483</v>
      </c>
      <c r="B11" s="187">
        <f>+B12+B13+B14</f>
        <v>26700</v>
      </c>
      <c r="C11" s="187">
        <f aca="true" t="shared" si="2" ref="C11:N11">+C12+C13+C14</f>
        <v>26700</v>
      </c>
      <c r="D11" s="192">
        <f t="shared" si="2"/>
        <v>40029</v>
      </c>
      <c r="E11" s="2037">
        <f aca="true" t="shared" si="3" ref="E11:E26">D11/C11</f>
        <v>1.4992134831460675</v>
      </c>
      <c r="F11" s="187">
        <f t="shared" si="2"/>
        <v>0</v>
      </c>
      <c r="G11" s="187">
        <f t="shared" si="2"/>
        <v>0</v>
      </c>
      <c r="H11" s="187">
        <f t="shared" si="2"/>
        <v>0</v>
      </c>
      <c r="I11" s="187"/>
      <c r="J11" s="187">
        <f t="shared" si="2"/>
        <v>0</v>
      </c>
      <c r="K11" s="187">
        <f t="shared" si="2"/>
        <v>0</v>
      </c>
      <c r="L11" s="192">
        <f t="shared" si="2"/>
        <v>0</v>
      </c>
      <c r="M11" s="187"/>
      <c r="N11" s="187">
        <f t="shared" si="2"/>
        <v>27668</v>
      </c>
      <c r="O11" s="187">
        <f>+O12+O13+O14</f>
        <v>27668</v>
      </c>
      <c r="P11" s="192">
        <f>+P12+P13+P14</f>
        <v>41937</v>
      </c>
      <c r="Q11" s="2156">
        <f aca="true" t="shared" si="4" ref="Q11:Q29">P11/O11</f>
        <v>1.5157221338730664</v>
      </c>
      <c r="R11" s="187">
        <f>+R12+R13+R14</f>
        <v>0</v>
      </c>
      <c r="S11" s="187">
        <f>+S12+S13+S14</f>
        <v>0</v>
      </c>
      <c r="T11" s="187">
        <f>+T12+T13+T14</f>
        <v>0</v>
      </c>
      <c r="U11" s="187"/>
      <c r="V11" s="187">
        <f>+V12+V13+V14</f>
        <v>0</v>
      </c>
      <c r="W11" s="187">
        <v>0</v>
      </c>
      <c r="X11" s="187">
        <v>0</v>
      </c>
      <c r="Y11" s="187"/>
      <c r="Z11" s="187">
        <f t="shared" si="1"/>
        <v>54368</v>
      </c>
      <c r="AA11" s="187">
        <f t="shared" si="1"/>
        <v>54368</v>
      </c>
      <c r="AB11" s="187">
        <f t="shared" si="1"/>
        <v>81966</v>
      </c>
      <c r="AC11" s="2040">
        <f aca="true" t="shared" si="5" ref="AC11:AC29">AB11/AA11</f>
        <v>1.5076147733961154</v>
      </c>
    </row>
    <row r="12" spans="1:29" ht="12.75">
      <c r="A12" s="189" t="s">
        <v>1484</v>
      </c>
      <c r="B12" s="363">
        <f>19770+5338</f>
        <v>25108</v>
      </c>
      <c r="C12" s="190">
        <v>25108</v>
      </c>
      <c r="D12" s="190">
        <v>37086</v>
      </c>
      <c r="E12" s="2037">
        <f t="shared" si="3"/>
        <v>1.477059104667835</v>
      </c>
      <c r="F12" s="190">
        <v>0</v>
      </c>
      <c r="G12" s="190"/>
      <c r="H12" s="190"/>
      <c r="I12" s="190"/>
      <c r="J12" s="190">
        <v>0</v>
      </c>
      <c r="K12" s="190"/>
      <c r="L12" s="190"/>
      <c r="M12" s="190"/>
      <c r="N12" s="190">
        <f>1797</f>
        <v>1797</v>
      </c>
      <c r="O12" s="190">
        <v>1797</v>
      </c>
      <c r="P12" s="190">
        <v>14250</v>
      </c>
      <c r="Q12" s="2156">
        <f t="shared" si="4"/>
        <v>7.929883138564274</v>
      </c>
      <c r="R12" s="190"/>
      <c r="S12" s="190"/>
      <c r="T12" s="190"/>
      <c r="U12" s="190"/>
      <c r="V12" s="190"/>
      <c r="W12" s="190"/>
      <c r="X12" s="190"/>
      <c r="Y12" s="190"/>
      <c r="Z12" s="187">
        <f aca="true" t="shared" si="6" ref="Z12:Z26">+B12+F12+J12+N12+R12+V12</f>
        <v>26905</v>
      </c>
      <c r="AA12" s="187">
        <f aca="true" t="shared" si="7" ref="AA12:AA26">+C12+G12+K12+O12+S12+W12</f>
        <v>26905</v>
      </c>
      <c r="AB12" s="187">
        <f aca="true" t="shared" si="8" ref="AB12:AB26">+D12+H12+L12+P12+T12+X12</f>
        <v>51336</v>
      </c>
      <c r="AC12" s="2040">
        <f t="shared" si="5"/>
        <v>1.9080468314439696</v>
      </c>
    </row>
    <row r="13" spans="1:29" ht="12.75">
      <c r="A13" s="191" t="s">
        <v>1511</v>
      </c>
      <c r="B13" s="190">
        <v>50</v>
      </c>
      <c r="C13" s="190">
        <v>50</v>
      </c>
      <c r="D13" s="190">
        <v>129</v>
      </c>
      <c r="E13" s="2037">
        <f t="shared" si="3"/>
        <v>2.58</v>
      </c>
      <c r="F13" s="190">
        <v>0</v>
      </c>
      <c r="G13" s="190"/>
      <c r="H13" s="190"/>
      <c r="I13" s="190"/>
      <c r="J13" s="190">
        <v>0</v>
      </c>
      <c r="K13" s="190"/>
      <c r="L13" s="190"/>
      <c r="M13" s="190"/>
      <c r="N13" s="190">
        <v>1776</v>
      </c>
      <c r="O13" s="190">
        <v>1776</v>
      </c>
      <c r="P13" s="190">
        <v>4460</v>
      </c>
      <c r="Q13" s="2156">
        <f t="shared" si="4"/>
        <v>2.5112612612612613</v>
      </c>
      <c r="R13" s="190"/>
      <c r="S13" s="190"/>
      <c r="T13" s="190"/>
      <c r="U13" s="190"/>
      <c r="V13" s="190"/>
      <c r="W13" s="190"/>
      <c r="X13" s="190"/>
      <c r="Y13" s="190"/>
      <c r="Z13" s="187">
        <f t="shared" si="6"/>
        <v>1826</v>
      </c>
      <c r="AA13" s="187">
        <f t="shared" si="7"/>
        <v>1826</v>
      </c>
      <c r="AB13" s="187">
        <f t="shared" si="8"/>
        <v>4589</v>
      </c>
      <c r="AC13" s="2040">
        <f t="shared" si="5"/>
        <v>2.513143483023001</v>
      </c>
    </row>
    <row r="14" spans="1:29" ht="12.75">
      <c r="A14" s="740" t="s">
        <v>471</v>
      </c>
      <c r="B14" s="190">
        <f>1214+328</f>
        <v>1542</v>
      </c>
      <c r="C14" s="190">
        <v>1542</v>
      </c>
      <c r="D14" s="190">
        <v>2814</v>
      </c>
      <c r="E14" s="2037">
        <f t="shared" si="3"/>
        <v>1.8249027237354085</v>
      </c>
      <c r="F14" s="190"/>
      <c r="G14" s="190"/>
      <c r="H14" s="190"/>
      <c r="I14" s="190"/>
      <c r="J14" s="190"/>
      <c r="K14" s="190"/>
      <c r="L14" s="190"/>
      <c r="M14" s="190"/>
      <c r="N14" s="190">
        <f>1776+'S.udvarhelyi.tagiskola.kts.tér.'!B11</f>
        <v>24095</v>
      </c>
      <c r="O14" s="190">
        <v>24095</v>
      </c>
      <c r="P14" s="190">
        <v>23227</v>
      </c>
      <c r="Q14" s="2156">
        <f t="shared" si="4"/>
        <v>0.9639759286158954</v>
      </c>
      <c r="R14" s="190"/>
      <c r="S14" s="190"/>
      <c r="T14" s="190"/>
      <c r="U14" s="190"/>
      <c r="V14" s="190"/>
      <c r="W14" s="190"/>
      <c r="X14" s="190"/>
      <c r="Y14" s="190"/>
      <c r="Z14" s="187">
        <f t="shared" si="6"/>
        <v>25637</v>
      </c>
      <c r="AA14" s="187">
        <f t="shared" si="7"/>
        <v>25637</v>
      </c>
      <c r="AB14" s="187">
        <f t="shared" si="8"/>
        <v>26041</v>
      </c>
      <c r="AC14" s="2040">
        <f t="shared" si="5"/>
        <v>1.0157584740804306</v>
      </c>
    </row>
    <row r="15" spans="1:29" ht="12.75">
      <c r="A15" s="191" t="s">
        <v>1513</v>
      </c>
      <c r="B15" s="190">
        <v>0</v>
      </c>
      <c r="C15" s="190">
        <v>0</v>
      </c>
      <c r="D15" s="190"/>
      <c r="E15" s="2037">
        <v>0</v>
      </c>
      <c r="F15" s="190">
        <v>0</v>
      </c>
      <c r="G15" s="190"/>
      <c r="H15" s="190"/>
      <c r="I15" s="190"/>
      <c r="J15" s="190">
        <v>0</v>
      </c>
      <c r="K15" s="190"/>
      <c r="L15" s="190"/>
      <c r="M15" s="190"/>
      <c r="N15" s="190">
        <v>0</v>
      </c>
      <c r="O15" s="190">
        <v>0</v>
      </c>
      <c r="P15" s="190"/>
      <c r="Q15" s="2156">
        <v>0</v>
      </c>
      <c r="R15" s="190"/>
      <c r="S15" s="190"/>
      <c r="T15" s="190"/>
      <c r="U15" s="190"/>
      <c r="V15" s="190"/>
      <c r="W15" s="190"/>
      <c r="X15" s="190"/>
      <c r="Y15" s="190"/>
      <c r="Z15" s="187">
        <f t="shared" si="6"/>
        <v>0</v>
      </c>
      <c r="AA15" s="187">
        <f t="shared" si="7"/>
        <v>0</v>
      </c>
      <c r="AB15" s="187">
        <f t="shared" si="8"/>
        <v>0</v>
      </c>
      <c r="AC15" s="2040"/>
    </row>
    <row r="16" spans="1:29" ht="12.75">
      <c r="A16" s="191" t="s">
        <v>1424</v>
      </c>
      <c r="B16" s="190">
        <v>257</v>
      </c>
      <c r="C16" s="190">
        <v>257</v>
      </c>
      <c r="D16" s="190">
        <v>718</v>
      </c>
      <c r="E16" s="2037">
        <f t="shared" si="3"/>
        <v>2.7937743190661477</v>
      </c>
      <c r="F16" s="190">
        <v>0</v>
      </c>
      <c r="G16" s="190"/>
      <c r="H16" s="190"/>
      <c r="I16" s="190"/>
      <c r="J16" s="190">
        <v>0</v>
      </c>
      <c r="K16" s="190"/>
      <c r="L16" s="190"/>
      <c r="M16" s="190"/>
      <c r="N16" s="190">
        <v>0</v>
      </c>
      <c r="O16" s="190">
        <v>0</v>
      </c>
      <c r="P16" s="190">
        <v>470</v>
      </c>
      <c r="Q16" s="2156">
        <v>0</v>
      </c>
      <c r="R16" s="190"/>
      <c r="S16" s="190"/>
      <c r="T16" s="190"/>
      <c r="U16" s="190"/>
      <c r="V16" s="190"/>
      <c r="W16" s="190"/>
      <c r="X16" s="190"/>
      <c r="Y16" s="190"/>
      <c r="Z16" s="187">
        <f t="shared" si="6"/>
        <v>257</v>
      </c>
      <c r="AA16" s="187">
        <f t="shared" si="7"/>
        <v>257</v>
      </c>
      <c r="AB16" s="187">
        <f t="shared" si="8"/>
        <v>1188</v>
      </c>
      <c r="AC16" s="2040">
        <f t="shared" si="5"/>
        <v>4.622568093385214</v>
      </c>
    </row>
    <row r="17" spans="1:29" ht="12.75">
      <c r="A17" s="191" t="s">
        <v>221</v>
      </c>
      <c r="B17" s="190">
        <v>0</v>
      </c>
      <c r="C17" s="190">
        <v>0</v>
      </c>
      <c r="D17" s="190"/>
      <c r="E17" s="2037">
        <v>0</v>
      </c>
      <c r="F17" s="190">
        <v>0</v>
      </c>
      <c r="G17" s="190"/>
      <c r="H17" s="190"/>
      <c r="I17" s="190"/>
      <c r="J17" s="190">
        <v>0</v>
      </c>
      <c r="K17" s="190"/>
      <c r="L17" s="190"/>
      <c r="M17" s="190"/>
      <c r="N17" s="190">
        <v>0</v>
      </c>
      <c r="O17" s="190">
        <v>0</v>
      </c>
      <c r="P17" s="190">
        <v>453</v>
      </c>
      <c r="Q17" s="2156">
        <v>0</v>
      </c>
      <c r="R17" s="190"/>
      <c r="S17" s="190"/>
      <c r="T17" s="190"/>
      <c r="U17" s="190"/>
      <c r="V17" s="190"/>
      <c r="W17" s="190"/>
      <c r="X17" s="190"/>
      <c r="Y17" s="190"/>
      <c r="Z17" s="187">
        <f t="shared" si="6"/>
        <v>0</v>
      </c>
      <c r="AA17" s="187">
        <f t="shared" si="7"/>
        <v>0</v>
      </c>
      <c r="AB17" s="187">
        <f t="shared" si="8"/>
        <v>453</v>
      </c>
      <c r="AC17" s="2040"/>
    </row>
    <row r="18" spans="1:29" s="2029" customFormat="1" ht="12.75">
      <c r="A18" s="2157" t="s">
        <v>233</v>
      </c>
      <c r="B18" s="2155">
        <f>SUM(B19:B21)</f>
        <v>1353</v>
      </c>
      <c r="C18" s="2155">
        <f aca="true" t="shared" si="9" ref="C18:V18">SUM(C19:C21)</f>
        <v>1353</v>
      </c>
      <c r="D18" s="2155">
        <f t="shared" si="9"/>
        <v>688</v>
      </c>
      <c r="E18" s="2158">
        <f t="shared" si="3"/>
        <v>0.50849963045085</v>
      </c>
      <c r="F18" s="2155">
        <f t="shared" si="9"/>
        <v>0</v>
      </c>
      <c r="G18" s="2155">
        <f t="shared" si="9"/>
        <v>0</v>
      </c>
      <c r="H18" s="2155">
        <f t="shared" si="9"/>
        <v>0</v>
      </c>
      <c r="I18" s="2155"/>
      <c r="J18" s="2155">
        <f t="shared" si="9"/>
        <v>0</v>
      </c>
      <c r="K18" s="2155">
        <f t="shared" si="9"/>
        <v>0</v>
      </c>
      <c r="L18" s="2155">
        <f t="shared" si="9"/>
        <v>0</v>
      </c>
      <c r="M18" s="2155"/>
      <c r="N18" s="2155">
        <f t="shared" si="9"/>
        <v>12150</v>
      </c>
      <c r="O18" s="2155">
        <f t="shared" si="9"/>
        <v>12150</v>
      </c>
      <c r="P18" s="2155">
        <f t="shared" si="9"/>
        <v>15800</v>
      </c>
      <c r="Q18" s="2159">
        <f t="shared" si="4"/>
        <v>1.300411522633745</v>
      </c>
      <c r="R18" s="2155">
        <f t="shared" si="9"/>
        <v>0</v>
      </c>
      <c r="S18" s="2155">
        <f t="shared" si="9"/>
        <v>0</v>
      </c>
      <c r="T18" s="2155">
        <f t="shared" si="9"/>
        <v>0</v>
      </c>
      <c r="U18" s="2155"/>
      <c r="V18" s="2155">
        <f t="shared" si="9"/>
        <v>0</v>
      </c>
      <c r="W18" s="2155">
        <f>W19+W21</f>
        <v>0</v>
      </c>
      <c r="X18" s="2155">
        <f>X19+X21</f>
        <v>0</v>
      </c>
      <c r="Y18" s="2155"/>
      <c r="Z18" s="2155">
        <f t="shared" si="6"/>
        <v>13503</v>
      </c>
      <c r="AA18" s="2155">
        <f t="shared" si="7"/>
        <v>13503</v>
      </c>
      <c r="AB18" s="192">
        <f t="shared" si="8"/>
        <v>16488</v>
      </c>
      <c r="AC18" s="2168">
        <f t="shared" si="5"/>
        <v>1.2210619862252832</v>
      </c>
    </row>
    <row r="19" spans="1:29" ht="12.75">
      <c r="A19" s="193" t="s">
        <v>234</v>
      </c>
      <c r="B19" s="194">
        <v>1050</v>
      </c>
      <c r="C19" s="194">
        <v>1050</v>
      </c>
      <c r="D19" s="194">
        <v>688</v>
      </c>
      <c r="E19" s="2037">
        <f t="shared" si="3"/>
        <v>0.6552380952380953</v>
      </c>
      <c r="F19" s="194"/>
      <c r="G19" s="194"/>
      <c r="H19" s="194"/>
      <c r="I19" s="194"/>
      <c r="J19" s="194"/>
      <c r="K19" s="194"/>
      <c r="L19" s="194"/>
      <c r="M19" s="194"/>
      <c r="N19" s="888">
        <v>150</v>
      </c>
      <c r="O19" s="194">
        <v>150</v>
      </c>
      <c r="P19" s="194">
        <v>1706</v>
      </c>
      <c r="Q19" s="2159">
        <f t="shared" si="4"/>
        <v>11.373333333333333</v>
      </c>
      <c r="R19" s="194"/>
      <c r="S19" s="194"/>
      <c r="T19" s="194"/>
      <c r="U19" s="194"/>
      <c r="V19" s="194"/>
      <c r="W19" s="194"/>
      <c r="X19" s="194"/>
      <c r="Y19" s="194"/>
      <c r="Z19" s="187">
        <f t="shared" si="6"/>
        <v>1200</v>
      </c>
      <c r="AA19" s="187">
        <f t="shared" si="7"/>
        <v>1200</v>
      </c>
      <c r="AB19" s="187">
        <f t="shared" si="8"/>
        <v>2394</v>
      </c>
      <c r="AC19" s="2040">
        <f t="shared" si="5"/>
        <v>1.995</v>
      </c>
    </row>
    <row r="20" spans="1:29" s="2028" customFormat="1" ht="12.75">
      <c r="A20" s="2152" t="s">
        <v>1294</v>
      </c>
      <c r="B20" s="2153"/>
      <c r="C20" s="2153"/>
      <c r="D20" s="2153"/>
      <c r="E20" s="2154">
        <v>0</v>
      </c>
      <c r="F20" s="2153"/>
      <c r="G20" s="2153"/>
      <c r="H20" s="2153"/>
      <c r="I20" s="2153"/>
      <c r="J20" s="2153"/>
      <c r="K20" s="2153"/>
      <c r="L20" s="2153"/>
      <c r="M20" s="2153"/>
      <c r="N20" s="2153">
        <f>12000</f>
        <v>12000</v>
      </c>
      <c r="O20" s="2153">
        <v>12000</v>
      </c>
      <c r="P20" s="2153">
        <v>13771</v>
      </c>
      <c r="Q20" s="2159">
        <f t="shared" si="4"/>
        <v>1.1475833333333334</v>
      </c>
      <c r="R20" s="2153"/>
      <c r="S20" s="2153"/>
      <c r="T20" s="2153"/>
      <c r="U20" s="2153"/>
      <c r="V20" s="2153"/>
      <c r="W20" s="2153"/>
      <c r="X20" s="2153"/>
      <c r="Y20" s="2153"/>
      <c r="Z20" s="2155">
        <f t="shared" si="6"/>
        <v>12000</v>
      </c>
      <c r="AA20" s="2155">
        <f t="shared" si="7"/>
        <v>12000</v>
      </c>
      <c r="AB20" s="187">
        <f t="shared" si="8"/>
        <v>13771</v>
      </c>
      <c r="AC20" s="2169">
        <f t="shared" si="5"/>
        <v>1.1475833333333334</v>
      </c>
    </row>
    <row r="21" spans="1:29" ht="12.75">
      <c r="A21" s="193" t="s">
        <v>235</v>
      </c>
      <c r="B21" s="194">
        <v>303</v>
      </c>
      <c r="C21" s="194">
        <v>303</v>
      </c>
      <c r="D21" s="194"/>
      <c r="E21" s="2037">
        <f t="shared" si="3"/>
        <v>0</v>
      </c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>
        <v>323</v>
      </c>
      <c r="Q21" s="2159">
        <v>0</v>
      </c>
      <c r="R21" s="194"/>
      <c r="S21" s="194"/>
      <c r="T21" s="194"/>
      <c r="U21" s="194"/>
      <c r="V21" s="194"/>
      <c r="W21" s="194"/>
      <c r="X21" s="194"/>
      <c r="Y21" s="194"/>
      <c r="Z21" s="187">
        <f t="shared" si="6"/>
        <v>303</v>
      </c>
      <c r="AA21" s="187">
        <f t="shared" si="7"/>
        <v>303</v>
      </c>
      <c r="AB21" s="187">
        <f t="shared" si="8"/>
        <v>323</v>
      </c>
      <c r="AC21" s="2040">
        <f t="shared" si="5"/>
        <v>1.066006600660066</v>
      </c>
    </row>
    <row r="22" spans="1:29" s="185" customFormat="1" ht="12.75">
      <c r="A22" s="186" t="s">
        <v>1339</v>
      </c>
      <c r="B22" s="192">
        <f>B23+B25+B24</f>
        <v>24842</v>
      </c>
      <c r="C22" s="192">
        <f>C23+C25+C24</f>
        <v>24842</v>
      </c>
      <c r="D22" s="192">
        <f>D23+D25+D24</f>
        <v>24718</v>
      </c>
      <c r="E22" s="2037">
        <f t="shared" si="3"/>
        <v>0.9950084534256501</v>
      </c>
      <c r="F22" s="192">
        <f aca="true" t="shared" si="10" ref="F22:M22">F23+F25</f>
        <v>0</v>
      </c>
      <c r="G22" s="192">
        <f t="shared" si="10"/>
        <v>0</v>
      </c>
      <c r="H22" s="192">
        <f t="shared" si="10"/>
        <v>0</v>
      </c>
      <c r="I22" s="192">
        <f t="shared" si="10"/>
        <v>0</v>
      </c>
      <c r="J22" s="192">
        <f t="shared" si="10"/>
        <v>0</v>
      </c>
      <c r="K22" s="192">
        <f t="shared" si="10"/>
        <v>0</v>
      </c>
      <c r="L22" s="192">
        <f t="shared" si="10"/>
        <v>0</v>
      </c>
      <c r="M22" s="192">
        <f t="shared" si="10"/>
        <v>0</v>
      </c>
      <c r="N22" s="192">
        <f>N23+N25+N24</f>
        <v>13457</v>
      </c>
      <c r="O22" s="192">
        <f>O23+O25+O24</f>
        <v>13457</v>
      </c>
      <c r="P22" s="192">
        <f>P23+P25+P24</f>
        <v>3391</v>
      </c>
      <c r="Q22" s="2159">
        <f t="shared" si="4"/>
        <v>0.25198781303410867</v>
      </c>
      <c r="R22" s="192">
        <f aca="true" t="shared" si="11" ref="R22:Z22">R23+R25</f>
        <v>0</v>
      </c>
      <c r="S22" s="192">
        <f t="shared" si="11"/>
        <v>0</v>
      </c>
      <c r="T22" s="192">
        <f t="shared" si="11"/>
        <v>0</v>
      </c>
      <c r="U22" s="192">
        <f t="shared" si="11"/>
        <v>0</v>
      </c>
      <c r="V22" s="192">
        <f t="shared" si="11"/>
        <v>0</v>
      </c>
      <c r="W22" s="192">
        <f t="shared" si="11"/>
        <v>0</v>
      </c>
      <c r="X22" s="192">
        <f t="shared" si="11"/>
        <v>0</v>
      </c>
      <c r="Y22" s="192">
        <f t="shared" si="11"/>
        <v>0</v>
      </c>
      <c r="Z22" s="192">
        <f t="shared" si="11"/>
        <v>23534</v>
      </c>
      <c r="AA22" s="187">
        <f t="shared" si="7"/>
        <v>38299</v>
      </c>
      <c r="AB22" s="187">
        <f t="shared" si="8"/>
        <v>28109</v>
      </c>
      <c r="AC22" s="2040">
        <f t="shared" si="5"/>
        <v>0.733935611895872</v>
      </c>
    </row>
    <row r="23" spans="1:29" ht="12.75">
      <c r="A23" s="193" t="s">
        <v>236</v>
      </c>
      <c r="B23" s="194">
        <v>978</v>
      </c>
      <c r="C23" s="194">
        <v>978</v>
      </c>
      <c r="D23" s="194">
        <v>698</v>
      </c>
      <c r="E23" s="2037">
        <f t="shared" si="3"/>
        <v>0.7137014314928425</v>
      </c>
      <c r="F23" s="194"/>
      <c r="G23" s="194"/>
      <c r="H23" s="194"/>
      <c r="I23" s="194"/>
      <c r="J23" s="194"/>
      <c r="K23" s="194"/>
      <c r="L23" s="194"/>
      <c r="M23" s="194"/>
      <c r="N23" s="194">
        <v>0</v>
      </c>
      <c r="O23" s="194"/>
      <c r="P23" s="194"/>
      <c r="Q23" s="2159">
        <v>0</v>
      </c>
      <c r="R23" s="194"/>
      <c r="S23" s="194"/>
      <c r="T23" s="194"/>
      <c r="U23" s="194"/>
      <c r="V23" s="194"/>
      <c r="W23" s="194"/>
      <c r="X23" s="194"/>
      <c r="Y23" s="194"/>
      <c r="Z23" s="187">
        <f t="shared" si="6"/>
        <v>978</v>
      </c>
      <c r="AA23" s="187">
        <f t="shared" si="7"/>
        <v>978</v>
      </c>
      <c r="AB23" s="187">
        <f t="shared" si="8"/>
        <v>698</v>
      </c>
      <c r="AC23" s="2040">
        <f t="shared" si="5"/>
        <v>0.7137014314928425</v>
      </c>
    </row>
    <row r="24" spans="1:29" ht="12.75">
      <c r="A24" s="2166" t="s">
        <v>237</v>
      </c>
      <c r="B24" s="2167">
        <v>1308</v>
      </c>
      <c r="C24" s="2167">
        <v>1308</v>
      </c>
      <c r="D24" s="194">
        <v>920</v>
      </c>
      <c r="E24" s="2037"/>
      <c r="F24" s="194"/>
      <c r="G24" s="194"/>
      <c r="H24" s="194"/>
      <c r="I24" s="194"/>
      <c r="J24" s="194"/>
      <c r="K24" s="194"/>
      <c r="L24" s="194"/>
      <c r="M24" s="194"/>
      <c r="N24" s="2167">
        <v>13457</v>
      </c>
      <c r="O24" s="2167">
        <v>13457</v>
      </c>
      <c r="P24" s="194">
        <v>3391</v>
      </c>
      <c r="Q24" s="2159">
        <f t="shared" si="4"/>
        <v>0.25198781303410867</v>
      </c>
      <c r="R24" s="194"/>
      <c r="S24" s="194"/>
      <c r="T24" s="194"/>
      <c r="U24" s="194"/>
      <c r="V24" s="194"/>
      <c r="W24" s="194"/>
      <c r="X24" s="194"/>
      <c r="Y24" s="194"/>
      <c r="Z24" s="187">
        <f t="shared" si="6"/>
        <v>14765</v>
      </c>
      <c r="AA24" s="187">
        <f t="shared" si="7"/>
        <v>14765</v>
      </c>
      <c r="AB24" s="187">
        <f t="shared" si="8"/>
        <v>4311</v>
      </c>
      <c r="AC24" s="2040">
        <f t="shared" si="5"/>
        <v>0.29197426346088723</v>
      </c>
    </row>
    <row r="25" spans="1:29" ht="12.75">
      <c r="A25" s="2166" t="s">
        <v>238</v>
      </c>
      <c r="B25" s="194">
        <v>22556</v>
      </c>
      <c r="C25" s="194">
        <v>22556</v>
      </c>
      <c r="D25" s="194">
        <v>23100</v>
      </c>
      <c r="E25" s="2037">
        <f t="shared" si="3"/>
        <v>1.0241177513743571</v>
      </c>
      <c r="F25" s="194"/>
      <c r="G25" s="194"/>
      <c r="H25" s="194"/>
      <c r="I25" s="194"/>
      <c r="J25" s="194"/>
      <c r="K25" s="194"/>
      <c r="L25" s="194"/>
      <c r="M25" s="194"/>
      <c r="N25" s="194">
        <v>0</v>
      </c>
      <c r="O25" s="194"/>
      <c r="P25" s="194"/>
      <c r="Q25" s="2159">
        <v>0</v>
      </c>
      <c r="R25" s="194"/>
      <c r="S25" s="194"/>
      <c r="T25" s="194"/>
      <c r="U25" s="194"/>
      <c r="V25" s="194"/>
      <c r="W25" s="194"/>
      <c r="X25" s="194"/>
      <c r="Y25" s="194"/>
      <c r="Z25" s="187">
        <f t="shared" si="6"/>
        <v>22556</v>
      </c>
      <c r="AA25" s="187">
        <f t="shared" si="7"/>
        <v>22556</v>
      </c>
      <c r="AB25" s="187">
        <f t="shared" si="8"/>
        <v>23100</v>
      </c>
      <c r="AC25" s="2040">
        <f t="shared" si="5"/>
        <v>1.0241177513743571</v>
      </c>
    </row>
    <row r="26" spans="1:29" ht="24">
      <c r="A26" s="195" t="s">
        <v>239</v>
      </c>
      <c r="B26" s="192">
        <f aca="true" t="shared" si="12" ref="B26:X26">B10+B18+B22</f>
        <v>53152</v>
      </c>
      <c r="C26" s="192">
        <f t="shared" si="12"/>
        <v>53152</v>
      </c>
      <c r="D26" s="192">
        <f t="shared" si="12"/>
        <v>66153</v>
      </c>
      <c r="E26" s="2037">
        <f t="shared" si="3"/>
        <v>1.2446003913305237</v>
      </c>
      <c r="F26" s="192">
        <f t="shared" si="12"/>
        <v>0</v>
      </c>
      <c r="G26" s="192">
        <f t="shared" si="12"/>
        <v>0</v>
      </c>
      <c r="H26" s="192">
        <f t="shared" si="12"/>
        <v>0</v>
      </c>
      <c r="I26" s="192"/>
      <c r="J26" s="192">
        <f t="shared" si="12"/>
        <v>0</v>
      </c>
      <c r="K26" s="192">
        <f t="shared" si="12"/>
        <v>0</v>
      </c>
      <c r="L26" s="192">
        <f t="shared" si="12"/>
        <v>0</v>
      </c>
      <c r="M26" s="192"/>
      <c r="N26" s="192">
        <f t="shared" si="12"/>
        <v>53275</v>
      </c>
      <c r="O26" s="192">
        <f t="shared" si="12"/>
        <v>53275</v>
      </c>
      <c r="P26" s="192">
        <f t="shared" si="12"/>
        <v>62051</v>
      </c>
      <c r="Q26" s="2156">
        <f t="shared" si="4"/>
        <v>1.164730173627405</v>
      </c>
      <c r="R26" s="192">
        <f t="shared" si="12"/>
        <v>0</v>
      </c>
      <c r="S26" s="192">
        <f t="shared" si="12"/>
        <v>0</v>
      </c>
      <c r="T26" s="192">
        <f t="shared" si="12"/>
        <v>0</v>
      </c>
      <c r="U26" s="192"/>
      <c r="V26" s="192">
        <f t="shared" si="12"/>
        <v>0</v>
      </c>
      <c r="W26" s="192">
        <f t="shared" si="12"/>
        <v>0</v>
      </c>
      <c r="X26" s="192">
        <f t="shared" si="12"/>
        <v>0</v>
      </c>
      <c r="Y26" s="192"/>
      <c r="Z26" s="187">
        <f t="shared" si="6"/>
        <v>106427</v>
      </c>
      <c r="AA26" s="187">
        <f t="shared" si="7"/>
        <v>106427</v>
      </c>
      <c r="AB26" s="187">
        <f t="shared" si="8"/>
        <v>128204</v>
      </c>
      <c r="AC26" s="2040">
        <f t="shared" si="5"/>
        <v>1.2046191286045835</v>
      </c>
    </row>
    <row r="27" spans="1:29" ht="25.5">
      <c r="A27" s="1994" t="s">
        <v>451</v>
      </c>
      <c r="B27" s="190">
        <f>1am!B12</f>
        <v>3500</v>
      </c>
      <c r="C27" s="190">
        <f>1am!C12</f>
        <v>3500</v>
      </c>
      <c r="D27" s="190">
        <f>1am!D12</f>
        <v>1855</v>
      </c>
      <c r="E27" s="2038">
        <f>D27/C27</f>
        <v>0.53</v>
      </c>
      <c r="F27" s="190">
        <f>1am!F12</f>
        <v>0</v>
      </c>
      <c r="G27" s="190">
        <f>1am!G12</f>
        <v>0</v>
      </c>
      <c r="H27" s="190">
        <f>1am!H12</f>
        <v>0</v>
      </c>
      <c r="I27" s="2038"/>
      <c r="J27" s="190">
        <f>1am!J12</f>
        <v>0</v>
      </c>
      <c r="K27" s="190">
        <f>1am!K12</f>
        <v>0</v>
      </c>
      <c r="L27" s="190">
        <f>1am!L12</f>
        <v>0</v>
      </c>
      <c r="M27" s="190"/>
      <c r="N27" s="190">
        <f>1am!N12</f>
        <v>35559.84120126862</v>
      </c>
      <c r="O27" s="190">
        <f>1am!O12</f>
        <v>35560</v>
      </c>
      <c r="P27" s="190">
        <f>1am!P12</f>
        <v>4853</v>
      </c>
      <c r="Q27" s="2156">
        <f t="shared" si="4"/>
        <v>0.13647356580427447</v>
      </c>
      <c r="R27" s="190">
        <f>1am!R12</f>
        <v>0</v>
      </c>
      <c r="S27" s="190">
        <f>1am!S12</f>
        <v>0</v>
      </c>
      <c r="T27" s="190">
        <f>1am!T12</f>
        <v>0</v>
      </c>
      <c r="U27" s="190"/>
      <c r="V27" s="190">
        <f>1am!V12</f>
        <v>0</v>
      </c>
      <c r="W27" s="190">
        <f>1am!W12</f>
        <v>0</v>
      </c>
      <c r="X27" s="190">
        <f>1am!X12</f>
        <v>0</v>
      </c>
      <c r="Y27" s="2038">
        <v>0</v>
      </c>
      <c r="Z27" s="190">
        <f>1am!Z12</f>
        <v>39059.84120126862</v>
      </c>
      <c r="AA27" s="190">
        <f>1am!AA12</f>
        <v>39060</v>
      </c>
      <c r="AB27" s="190">
        <f>1am!AB12</f>
        <v>6708</v>
      </c>
      <c r="AC27" s="2040">
        <f t="shared" si="5"/>
        <v>0.1717357910906298</v>
      </c>
    </row>
    <row r="28" spans="1:29" ht="27" customHeight="1">
      <c r="A28" s="1994" t="s">
        <v>450</v>
      </c>
      <c r="B28" s="342">
        <f>1am!B56</f>
        <v>0</v>
      </c>
      <c r="C28" s="342">
        <f>1am!C56</f>
        <v>0</v>
      </c>
      <c r="D28" s="342">
        <f>1am!D56</f>
        <v>13627</v>
      </c>
      <c r="E28" s="2038">
        <v>0</v>
      </c>
      <c r="F28" s="342">
        <f>1am!F56</f>
        <v>326979</v>
      </c>
      <c r="G28" s="342">
        <f>1am!G56</f>
        <v>326979</v>
      </c>
      <c r="H28" s="342">
        <f>1am!H56</f>
        <v>349316</v>
      </c>
      <c r="I28" s="2039">
        <f>H28/G28</f>
        <v>1.0683132555913377</v>
      </c>
      <c r="J28" s="342">
        <f>1am!J56</f>
        <v>493709</v>
      </c>
      <c r="K28" s="342">
        <f>1am!K56</f>
        <v>687616.64</v>
      </c>
      <c r="L28" s="342">
        <f>1am!L56</f>
        <v>687616</v>
      </c>
      <c r="M28" s="2039">
        <f>L28/K28</f>
        <v>0.9999990692488187</v>
      </c>
      <c r="N28" s="342">
        <f>1am!N56</f>
        <v>205227</v>
      </c>
      <c r="O28" s="342">
        <f>1am!O56</f>
        <v>205227</v>
      </c>
      <c r="P28" s="342">
        <f>1am!P56</f>
        <v>285373</v>
      </c>
      <c r="Q28" s="2156">
        <f t="shared" si="4"/>
        <v>1.3905236640403067</v>
      </c>
      <c r="R28" s="342">
        <f>1am!R56</f>
        <v>4818</v>
      </c>
      <c r="S28" s="342">
        <f>1am!S56</f>
        <v>4818</v>
      </c>
      <c r="T28" s="342">
        <f>1am!T56</f>
        <v>1181</v>
      </c>
      <c r="U28" s="2039">
        <f>T28/S28</f>
        <v>0.24512245745122457</v>
      </c>
      <c r="V28" s="342">
        <f>1am!V56</f>
        <v>239802.93529873138</v>
      </c>
      <c r="W28" s="342">
        <f>1am!W56</f>
        <v>89152</v>
      </c>
      <c r="X28" s="342">
        <f>1am!X56</f>
        <v>889168</v>
      </c>
      <c r="Y28" s="2039">
        <f>X28/W28</f>
        <v>9.97361809045226</v>
      </c>
      <c r="Z28" s="342">
        <f>1am!Z56</f>
        <v>1270535.9352987313</v>
      </c>
      <c r="AA28" s="342">
        <f>1am!AA56</f>
        <v>1313792.64</v>
      </c>
      <c r="AB28" s="342">
        <f>1am!AB56</f>
        <v>2226281</v>
      </c>
      <c r="AC28" s="2040">
        <f t="shared" si="5"/>
        <v>1.6945451909366764</v>
      </c>
    </row>
    <row r="29" spans="1:29" ht="13.5">
      <c r="A29" s="196" t="s">
        <v>240</v>
      </c>
      <c r="B29" s="197">
        <f>+B27+B26+B28</f>
        <v>56652</v>
      </c>
      <c r="C29" s="197">
        <f>+C27+C26+C28</f>
        <v>56652</v>
      </c>
      <c r="D29" s="197">
        <f>+D27+D26+D28</f>
        <v>81635</v>
      </c>
      <c r="E29" s="2038">
        <f>D29/C29</f>
        <v>1.4409906093341807</v>
      </c>
      <c r="F29" s="197">
        <f>+F27+F26+F28</f>
        <v>326979</v>
      </c>
      <c r="G29" s="197">
        <f>+G27+G26+G28</f>
        <v>326979</v>
      </c>
      <c r="H29" s="197">
        <f>+H27+H26+H28</f>
        <v>349316</v>
      </c>
      <c r="I29" s="2039">
        <f>H29/G29</f>
        <v>1.0683132555913377</v>
      </c>
      <c r="J29" s="197">
        <f>+J27+J26+J28</f>
        <v>493709</v>
      </c>
      <c r="K29" s="197">
        <f>+K27+K26+K28</f>
        <v>687616.64</v>
      </c>
      <c r="L29" s="197">
        <f>+L27+L26+L28</f>
        <v>687616</v>
      </c>
      <c r="M29" s="2039">
        <f>L29/K29</f>
        <v>0.9999990692488187</v>
      </c>
      <c r="N29" s="197">
        <f aca="true" t="shared" si="13" ref="N29:T29">+N27+N26+N28</f>
        <v>294061.8412012686</v>
      </c>
      <c r="O29" s="197">
        <f t="shared" si="13"/>
        <v>294062</v>
      </c>
      <c r="P29" s="197">
        <f t="shared" si="13"/>
        <v>352277</v>
      </c>
      <c r="Q29" s="2156">
        <f t="shared" si="4"/>
        <v>1.1979684556318055</v>
      </c>
      <c r="R29" s="197">
        <f t="shared" si="13"/>
        <v>4818</v>
      </c>
      <c r="S29" s="197">
        <f t="shared" si="13"/>
        <v>4818</v>
      </c>
      <c r="T29" s="197">
        <f t="shared" si="13"/>
        <v>1181</v>
      </c>
      <c r="U29" s="2039">
        <f>T29/S29</f>
        <v>0.24512245745122457</v>
      </c>
      <c r="V29" s="197">
        <f>+V27+V26+V28</f>
        <v>239802.93529873138</v>
      </c>
      <c r="W29" s="197">
        <f>+W27+W26+W28</f>
        <v>89152</v>
      </c>
      <c r="X29" s="197">
        <f>+X27+X26+X28</f>
        <v>889168</v>
      </c>
      <c r="Y29" s="2039">
        <f>X29/W29</f>
        <v>9.97361809045226</v>
      </c>
      <c r="Z29" s="197">
        <f>+Z27+Z26+Z28</f>
        <v>1416022.7765</v>
      </c>
      <c r="AA29" s="197">
        <f>+AA27+AA26+AA28</f>
        <v>1459279.64</v>
      </c>
      <c r="AB29" s="197">
        <f>+AB27+AB26+AB28</f>
        <v>2361193</v>
      </c>
      <c r="AC29" s="2041">
        <f t="shared" si="5"/>
        <v>1.618053822775188</v>
      </c>
    </row>
  </sheetData>
  <sheetProtection/>
  <mergeCells count="15">
    <mergeCell ref="A8:AC9"/>
    <mergeCell ref="A5:A7"/>
    <mergeCell ref="B5:E6"/>
    <mergeCell ref="F5:I6"/>
    <mergeCell ref="J5:M6"/>
    <mergeCell ref="N6:Q6"/>
    <mergeCell ref="N5:U5"/>
    <mergeCell ref="R6:U6"/>
    <mergeCell ref="V5:Y6"/>
    <mergeCell ref="Z5:AC6"/>
    <mergeCell ref="Z1:AC1"/>
    <mergeCell ref="A2:Z2"/>
    <mergeCell ref="A3:Z3"/>
    <mergeCell ref="V4:AA4"/>
    <mergeCell ref="N4:R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3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F126"/>
  <sheetViews>
    <sheetView view="pageBreakPreview" zoomScaleSheetLayoutView="100" zoomScalePageLayoutView="0" workbookViewId="0" topLeftCell="A70">
      <selection activeCell="H15" sqref="H15"/>
    </sheetView>
  </sheetViews>
  <sheetFormatPr defaultColWidth="9.140625" defaultRowHeight="12.75"/>
  <cols>
    <col min="1" max="1" width="12.421875" style="0" bestFit="1" customWidth="1"/>
    <col min="2" max="2" width="10.57421875" style="0" customWidth="1"/>
    <col min="3" max="3" width="7.28125" style="0" customWidth="1"/>
    <col min="4" max="4" width="43.7109375" style="0" customWidth="1"/>
    <col min="5" max="5" width="14.00390625" style="368" customWidth="1"/>
    <col min="6" max="6" width="9.57421875" style="0" bestFit="1" customWidth="1"/>
  </cols>
  <sheetData>
    <row r="1" spans="1:4" ht="12.75">
      <c r="A1" s="210"/>
      <c r="B1" s="210"/>
      <c r="C1" s="210"/>
      <c r="D1" s="362" t="s">
        <v>1026</v>
      </c>
    </row>
    <row r="2" spans="1:4" ht="30.75" customHeight="1">
      <c r="A2" s="210"/>
      <c r="B2" s="210"/>
      <c r="C2" s="210"/>
      <c r="D2" s="463" t="s">
        <v>995</v>
      </c>
    </row>
    <row r="3" spans="1:5" ht="12.75">
      <c r="A3" s="49" t="s">
        <v>1317</v>
      </c>
      <c r="B3" s="49" t="s">
        <v>1318</v>
      </c>
      <c r="C3" s="49" t="s">
        <v>1319</v>
      </c>
      <c r="D3" s="286" t="s">
        <v>1432</v>
      </c>
      <c r="E3" s="367" t="s">
        <v>1756</v>
      </c>
    </row>
    <row r="4" spans="1:5" ht="12.75">
      <c r="A4" s="5"/>
      <c r="B4" s="5"/>
      <c r="C4" s="5"/>
      <c r="D4" s="5"/>
      <c r="E4" s="48"/>
    </row>
    <row r="5" spans="1:5" ht="12.75">
      <c r="A5" s="5"/>
      <c r="B5" s="5"/>
      <c r="C5" s="5"/>
      <c r="D5" s="46" t="s">
        <v>1611</v>
      </c>
      <c r="E5" s="201"/>
    </row>
    <row r="6" spans="1:6" ht="12.75">
      <c r="A6" s="3">
        <v>1263</v>
      </c>
      <c r="B6" s="3">
        <v>429900</v>
      </c>
      <c r="C6" s="3">
        <v>106</v>
      </c>
      <c r="D6" s="881" t="s">
        <v>1296</v>
      </c>
      <c r="E6" s="201">
        <v>156876</v>
      </c>
      <c r="F6" s="2482">
        <v>189915</v>
      </c>
    </row>
    <row r="7" spans="1:6" ht="12.75">
      <c r="A7" s="3">
        <v>1811221</v>
      </c>
      <c r="B7" s="3">
        <v>429900</v>
      </c>
      <c r="C7" s="3">
        <v>106</v>
      </c>
      <c r="D7" s="881" t="s">
        <v>996</v>
      </c>
      <c r="E7" s="201">
        <f>E6*0.27</f>
        <v>42356.520000000004</v>
      </c>
      <c r="F7" s="2482"/>
    </row>
    <row r="8" spans="1:6" ht="11.25" customHeight="1">
      <c r="A8" s="3"/>
      <c r="B8" s="3"/>
      <c r="C8" s="3"/>
      <c r="D8" s="760" t="s">
        <v>495</v>
      </c>
      <c r="E8" s="201">
        <v>63904</v>
      </c>
      <c r="F8">
        <v>79880</v>
      </c>
    </row>
    <row r="9" spans="1:5" ht="12.75">
      <c r="A9" s="3"/>
      <c r="B9" s="3"/>
      <c r="C9" s="3"/>
      <c r="D9" s="760" t="s">
        <v>815</v>
      </c>
      <c r="E9" s="201">
        <f>E8*0.27</f>
        <v>17254.08</v>
      </c>
    </row>
    <row r="10" spans="1:5" ht="12.75">
      <c r="A10" s="3"/>
      <c r="B10" s="3"/>
      <c r="C10" s="3"/>
      <c r="D10" s="760" t="s">
        <v>816</v>
      </c>
      <c r="E10" s="201">
        <v>1800</v>
      </c>
    </row>
    <row r="11" spans="1:5" ht="12.75">
      <c r="A11" s="3"/>
      <c r="B11" s="3"/>
      <c r="C11" s="3"/>
      <c r="D11" s="760" t="s">
        <v>817</v>
      </c>
      <c r="E11" s="201">
        <f>E10*0.25</f>
        <v>450</v>
      </c>
    </row>
    <row r="12" spans="1:5" ht="12.75">
      <c r="A12" s="3"/>
      <c r="B12" s="3"/>
      <c r="C12" s="3"/>
      <c r="D12" s="286"/>
      <c r="E12" s="201"/>
    </row>
    <row r="13" spans="1:5" ht="12.75">
      <c r="A13" s="3"/>
      <c r="B13" s="3"/>
      <c r="C13" s="3"/>
      <c r="D13" s="293"/>
      <c r="E13" s="48"/>
    </row>
    <row r="14" spans="1:5" ht="12.75">
      <c r="A14" s="3"/>
      <c r="B14" s="3"/>
      <c r="C14" s="3"/>
      <c r="D14" s="293"/>
      <c r="E14" s="201"/>
    </row>
    <row r="15" spans="1:5" ht="25.5">
      <c r="A15" s="883">
        <v>1263</v>
      </c>
      <c r="B15" s="883">
        <v>890506</v>
      </c>
      <c r="C15" s="883">
        <v>116</v>
      </c>
      <c r="D15" s="884" t="s">
        <v>997</v>
      </c>
      <c r="E15" s="201">
        <v>10931</v>
      </c>
    </row>
    <row r="16" spans="1:5" ht="27.75" customHeight="1">
      <c r="A16" s="883">
        <v>1811221</v>
      </c>
      <c r="B16" s="883">
        <v>890506</v>
      </c>
      <c r="C16" s="883">
        <v>116</v>
      </c>
      <c r="D16" s="884" t="s">
        <v>1733</v>
      </c>
      <c r="E16" s="201">
        <f>E15*0.27</f>
        <v>2951.3700000000003</v>
      </c>
    </row>
    <row r="17" spans="1:5" ht="12.75">
      <c r="A17" s="5"/>
      <c r="B17" s="5"/>
      <c r="C17" s="5"/>
      <c r="D17" s="5"/>
      <c r="E17" s="201"/>
    </row>
    <row r="18" spans="1:6" ht="12.75">
      <c r="A18" s="883"/>
      <c r="B18" s="883"/>
      <c r="C18" s="883"/>
      <c r="D18" s="884"/>
      <c r="E18" s="201"/>
      <c r="F18">
        <f>60*313.6</f>
        <v>18816</v>
      </c>
    </row>
    <row r="19" spans="1:5" ht="12.75">
      <c r="A19" s="883"/>
      <c r="B19" s="883"/>
      <c r="C19" s="883"/>
      <c r="D19" s="884"/>
      <c r="E19" s="201"/>
    </row>
    <row r="20" spans="1:5" ht="12.75">
      <c r="A20" s="5"/>
      <c r="B20" s="5"/>
      <c r="C20" s="5"/>
      <c r="D20" s="286" t="s">
        <v>1612</v>
      </c>
      <c r="E20" s="201"/>
    </row>
    <row r="21" spans="1:5" ht="25.5">
      <c r="A21" s="883"/>
      <c r="B21" s="883"/>
      <c r="C21" s="883"/>
      <c r="D21" s="884" t="s">
        <v>466</v>
      </c>
      <c r="E21" s="201">
        <v>4903</v>
      </c>
    </row>
    <row r="22" spans="1:5" ht="25.5">
      <c r="A22" s="883"/>
      <c r="B22" s="883"/>
      <c r="C22" s="883"/>
      <c r="D22" s="884" t="s">
        <v>467</v>
      </c>
      <c r="E22" s="201">
        <f>E21*0.27</f>
        <v>1323.8100000000002</v>
      </c>
    </row>
    <row r="23" spans="1:5" ht="12.75">
      <c r="A23" s="5"/>
      <c r="B23" s="5"/>
      <c r="C23" s="5"/>
      <c r="D23" s="5"/>
      <c r="E23" s="201"/>
    </row>
    <row r="24" spans="1:5" ht="12.75">
      <c r="A24" s="883">
        <v>126311</v>
      </c>
      <c r="B24" s="883">
        <v>370000</v>
      </c>
      <c r="C24" s="883">
        <v>138</v>
      </c>
      <c r="D24" s="884" t="s">
        <v>1735</v>
      </c>
      <c r="E24" s="201">
        <v>4000</v>
      </c>
    </row>
    <row r="25" spans="1:5" ht="12.75">
      <c r="A25" s="883">
        <v>18112211</v>
      </c>
      <c r="B25" s="883">
        <v>370000</v>
      </c>
      <c r="C25" s="883">
        <v>138</v>
      </c>
      <c r="D25" s="884" t="s">
        <v>1735</v>
      </c>
      <c r="E25" s="201">
        <f>E24*0.27</f>
        <v>1080</v>
      </c>
    </row>
    <row r="26" spans="1:5" ht="12.75">
      <c r="A26" s="5"/>
      <c r="B26" s="5"/>
      <c r="C26" s="5"/>
      <c r="D26" s="5"/>
      <c r="E26" s="201"/>
    </row>
    <row r="27" spans="1:5" ht="24.75" customHeight="1">
      <c r="A27" s="5"/>
      <c r="B27" s="5"/>
      <c r="C27" s="5"/>
      <c r="D27" s="49" t="s">
        <v>1736</v>
      </c>
      <c r="E27" s="207">
        <f>SUM(E6:E26)</f>
        <v>307829.78</v>
      </c>
    </row>
    <row r="28" spans="1:5" ht="12.75">
      <c r="A28" s="5"/>
      <c r="B28" s="5"/>
      <c r="C28" s="5"/>
      <c r="D28" s="5"/>
      <c r="E28" s="201"/>
    </row>
    <row r="29" spans="1:5" ht="12.75">
      <c r="A29" s="5"/>
      <c r="B29" s="5"/>
      <c r="C29" s="5"/>
      <c r="D29" s="13" t="s">
        <v>1737</v>
      </c>
      <c r="E29" s="201"/>
    </row>
    <row r="30" spans="1:5" ht="12.75">
      <c r="A30" s="5"/>
      <c r="B30" s="5"/>
      <c r="C30" s="5"/>
      <c r="D30" s="5"/>
      <c r="E30" s="201"/>
    </row>
    <row r="31" spans="1:5" ht="12.75">
      <c r="A31" s="3">
        <v>12545</v>
      </c>
      <c r="B31" s="3">
        <v>429900</v>
      </c>
      <c r="C31" s="3">
        <v>106</v>
      </c>
      <c r="D31" s="13" t="s">
        <v>1738</v>
      </c>
      <c r="E31" s="190">
        <v>2785</v>
      </c>
    </row>
    <row r="32" spans="1:5" ht="12.75">
      <c r="A32" s="3">
        <v>18212112</v>
      </c>
      <c r="B32" s="3">
        <v>429900</v>
      </c>
      <c r="C32" s="3">
        <v>106</v>
      </c>
      <c r="D32" s="13" t="s">
        <v>1739</v>
      </c>
      <c r="E32" s="190">
        <f>E31*0.25</f>
        <v>696.25</v>
      </c>
    </row>
    <row r="33" spans="1:5" ht="12.75">
      <c r="A33" s="3"/>
      <c r="B33" s="3"/>
      <c r="C33" s="3"/>
      <c r="D33" s="5"/>
      <c r="E33" s="190"/>
    </row>
    <row r="34" spans="1:5" ht="12.75">
      <c r="A34" s="3"/>
      <c r="B34" s="3"/>
      <c r="C34" s="3"/>
      <c r="D34" s="13"/>
      <c r="E34" s="190"/>
    </row>
    <row r="35" spans="1:5" ht="12.75">
      <c r="A35" s="3"/>
      <c r="B35" s="3"/>
      <c r="C35" s="3"/>
      <c r="D35" s="884" t="s">
        <v>1297</v>
      </c>
      <c r="E35" s="201">
        <f>15003</f>
        <v>15003</v>
      </c>
    </row>
    <row r="36" spans="1:5" ht="12.75">
      <c r="A36" s="3"/>
      <c r="B36" s="3"/>
      <c r="C36" s="3"/>
      <c r="D36" s="884" t="s">
        <v>1734</v>
      </c>
      <c r="E36" s="201">
        <f>E35*0.25</f>
        <v>3750.75</v>
      </c>
    </row>
    <row r="37" spans="1:5" ht="12.75">
      <c r="A37" s="3"/>
      <c r="B37" s="3"/>
      <c r="C37" s="3"/>
      <c r="D37" s="5"/>
      <c r="E37" s="190"/>
    </row>
    <row r="38" spans="1:5" ht="25.5">
      <c r="A38" s="3"/>
      <c r="B38" s="3"/>
      <c r="C38" s="3"/>
      <c r="D38" s="293" t="s">
        <v>1235</v>
      </c>
      <c r="E38" s="342">
        <v>1500</v>
      </c>
    </row>
    <row r="39" spans="1:5" ht="12.75">
      <c r="A39" s="3"/>
      <c r="B39" s="3"/>
      <c r="C39" s="3"/>
      <c r="D39" s="5"/>
      <c r="E39" s="342"/>
    </row>
    <row r="40" spans="1:5" ht="12.75">
      <c r="A40" s="3"/>
      <c r="B40" s="3"/>
      <c r="C40" s="3"/>
      <c r="D40" s="11" t="s">
        <v>1740</v>
      </c>
      <c r="E40" s="342"/>
    </row>
    <row r="41" spans="1:5" ht="12.75">
      <c r="A41" s="3"/>
      <c r="B41" s="3"/>
      <c r="C41" s="3"/>
      <c r="D41" s="11"/>
      <c r="E41" s="342"/>
    </row>
    <row r="42" spans="1:6" ht="12.75">
      <c r="A42" s="3"/>
      <c r="B42" s="3"/>
      <c r="C42" s="3"/>
      <c r="D42" s="760" t="s">
        <v>497</v>
      </c>
      <c r="E42" s="342">
        <v>157965</v>
      </c>
      <c r="F42">
        <v>197456</v>
      </c>
    </row>
    <row r="43" spans="1:5" ht="12.75">
      <c r="A43" s="3"/>
      <c r="B43" s="3"/>
      <c r="C43" s="3"/>
      <c r="D43" s="760" t="s">
        <v>497</v>
      </c>
      <c r="E43" s="342">
        <v>42650</v>
      </c>
    </row>
    <row r="44" spans="1:5" ht="12.75">
      <c r="A44" s="3"/>
      <c r="B44" s="3"/>
      <c r="C44" s="3"/>
      <c r="D44" s="760"/>
      <c r="E44" s="342"/>
    </row>
    <row r="45" spans="1:5" ht="12.75">
      <c r="A45" s="3">
        <v>12546</v>
      </c>
      <c r="B45" s="3">
        <v>370000</v>
      </c>
      <c r="C45" s="3">
        <v>138</v>
      </c>
      <c r="D45" s="13" t="s">
        <v>2245</v>
      </c>
      <c r="E45" s="342">
        <f>Szennyvíztársulás!E6</f>
        <v>384022.83464566927</v>
      </c>
    </row>
    <row r="46" spans="1:5" ht="12.75">
      <c r="A46" s="3">
        <v>182121121</v>
      </c>
      <c r="B46" s="3">
        <v>370000</v>
      </c>
      <c r="C46" s="3">
        <v>138</v>
      </c>
      <c r="D46" s="13" t="s">
        <v>2246</v>
      </c>
      <c r="E46" s="342">
        <f>Szennyvíztársulás!E7</f>
        <v>103686.1653543307</v>
      </c>
    </row>
    <row r="47" spans="1:5" ht="12.75">
      <c r="A47" s="3"/>
      <c r="B47" s="3"/>
      <c r="C47" s="3"/>
      <c r="D47" s="760"/>
      <c r="E47" s="342"/>
    </row>
    <row r="48" spans="1:5" ht="12.75">
      <c r="A48" s="3"/>
      <c r="B48" s="3"/>
      <c r="C48" s="3"/>
      <c r="D48" s="11" t="s">
        <v>1741</v>
      </c>
      <c r="E48" s="187">
        <v>0</v>
      </c>
    </row>
    <row r="49" spans="1:5" ht="12.75">
      <c r="A49" s="3"/>
      <c r="B49" s="3"/>
      <c r="C49" s="3"/>
      <c r="D49" s="11"/>
      <c r="E49" s="342"/>
    </row>
    <row r="50" spans="1:5" ht="12.75">
      <c r="A50" s="3"/>
      <c r="B50" s="3"/>
      <c r="C50" s="3"/>
      <c r="D50" s="11" t="s">
        <v>2159</v>
      </c>
      <c r="E50" s="187">
        <v>0</v>
      </c>
    </row>
    <row r="51" spans="1:5" ht="12.75">
      <c r="A51" s="3"/>
      <c r="B51" s="3"/>
      <c r="C51" s="3"/>
      <c r="D51" s="11"/>
      <c r="E51" s="342"/>
    </row>
    <row r="52" spans="1:5" ht="12.75">
      <c r="A52" s="3"/>
      <c r="B52" s="3"/>
      <c r="C52" s="3"/>
      <c r="D52" s="11" t="s">
        <v>2160</v>
      </c>
      <c r="E52" s="342"/>
    </row>
    <row r="53" spans="1:5" ht="12.75">
      <c r="A53" s="3"/>
      <c r="B53" s="3"/>
      <c r="C53" s="3"/>
      <c r="D53" s="11"/>
      <c r="E53" s="342"/>
    </row>
    <row r="54" spans="1:5" ht="12.75">
      <c r="A54" s="5"/>
      <c r="B54" s="5"/>
      <c r="C54" s="5"/>
      <c r="D54" s="219" t="s">
        <v>1613</v>
      </c>
      <c r="E54" s="48"/>
    </row>
    <row r="55" spans="1:5" ht="12.75">
      <c r="A55" s="3"/>
      <c r="B55" s="3"/>
      <c r="C55" s="3"/>
      <c r="D55" s="5"/>
      <c r="E55" s="48"/>
    </row>
    <row r="56" spans="1:5" ht="12.75">
      <c r="A56" s="3"/>
      <c r="B56" s="3"/>
      <c r="C56" s="3"/>
      <c r="D56" s="11" t="s">
        <v>2161</v>
      </c>
      <c r="E56" s="213">
        <f>SUM(E31:E53)</f>
        <v>712058.9999999999</v>
      </c>
    </row>
    <row r="57" spans="1:5" ht="12.75">
      <c r="A57" s="3"/>
      <c r="B57" s="3"/>
      <c r="C57" s="3"/>
      <c r="D57" s="5"/>
      <c r="E57" s="48"/>
    </row>
    <row r="58" spans="1:5" ht="25.5">
      <c r="A58" s="3"/>
      <c r="B58" s="3"/>
      <c r="C58" s="3"/>
      <c r="D58" s="219" t="s">
        <v>2162</v>
      </c>
      <c r="E58" s="201"/>
    </row>
    <row r="59" spans="1:5" ht="12.75">
      <c r="A59" s="3"/>
      <c r="B59" s="3"/>
      <c r="C59" s="3"/>
      <c r="D59" s="882"/>
      <c r="E59" s="201"/>
    </row>
    <row r="60" spans="1:5" ht="25.5">
      <c r="A60" s="3">
        <v>38215</v>
      </c>
      <c r="B60" s="3">
        <v>841126</v>
      </c>
      <c r="C60" s="3">
        <v>116</v>
      </c>
      <c r="D60" s="881" t="s">
        <v>2163</v>
      </c>
      <c r="E60" s="201">
        <v>0</v>
      </c>
    </row>
    <row r="61" spans="1:5" ht="25.5">
      <c r="A61" s="3">
        <v>3821511</v>
      </c>
      <c r="B61" s="3">
        <v>841126</v>
      </c>
      <c r="C61" s="3">
        <v>116</v>
      </c>
      <c r="D61" s="881" t="s">
        <v>1079</v>
      </c>
      <c r="E61" s="201">
        <v>1582</v>
      </c>
    </row>
    <row r="62" spans="1:5" ht="25.5">
      <c r="A62" s="3">
        <v>38211512</v>
      </c>
      <c r="B62" s="3">
        <v>841126</v>
      </c>
      <c r="C62" s="3">
        <v>116</v>
      </c>
      <c r="D62" s="881" t="s">
        <v>347</v>
      </c>
      <c r="E62" s="201">
        <v>0</v>
      </c>
    </row>
    <row r="63" spans="1:5" ht="25.5">
      <c r="A63" s="3"/>
      <c r="B63" s="3"/>
      <c r="C63" s="3"/>
      <c r="D63" s="219" t="s">
        <v>2164</v>
      </c>
      <c r="E63" s="201">
        <f>E60+E61+E62</f>
        <v>1582</v>
      </c>
    </row>
    <row r="64" spans="1:5" ht="12.75">
      <c r="A64" s="3"/>
      <c r="B64" s="3"/>
      <c r="C64" s="3"/>
      <c r="D64" s="882"/>
      <c r="E64" s="201"/>
    </row>
    <row r="65" spans="1:5" ht="12.75">
      <c r="A65" s="3"/>
      <c r="B65" s="3"/>
      <c r="C65" s="3"/>
      <c r="D65" s="219" t="s">
        <v>2165</v>
      </c>
      <c r="E65" s="207">
        <v>0</v>
      </c>
    </row>
    <row r="66" spans="1:5" ht="12.75">
      <c r="A66" s="3"/>
      <c r="B66" s="3"/>
      <c r="C66" s="3"/>
      <c r="D66" s="882"/>
      <c r="E66" s="48"/>
    </row>
    <row r="67" spans="1:6" ht="12.75">
      <c r="A67" s="3"/>
      <c r="B67" s="3"/>
      <c r="C67" s="3"/>
      <c r="D67" s="882"/>
      <c r="E67" s="201"/>
      <c r="F67" t="s">
        <v>1615</v>
      </c>
    </row>
    <row r="68" spans="1:6" ht="25.5">
      <c r="A68" s="3">
        <v>4312112</v>
      </c>
      <c r="B68" s="3">
        <v>841126</v>
      </c>
      <c r="C68" s="3">
        <v>116</v>
      </c>
      <c r="D68" s="881" t="s">
        <v>2166</v>
      </c>
      <c r="E68" s="201">
        <v>2107</v>
      </c>
      <c r="F68" s="253">
        <f>33366*0.1135</f>
        <v>3787.041</v>
      </c>
    </row>
    <row r="69" spans="1:6" ht="25.5">
      <c r="A69" s="3">
        <v>43121121</v>
      </c>
      <c r="B69" s="3">
        <v>841126</v>
      </c>
      <c r="C69" s="3">
        <v>116</v>
      </c>
      <c r="D69" s="881" t="s">
        <v>2167</v>
      </c>
      <c r="E69" s="201">
        <v>6456</v>
      </c>
      <c r="F69" s="253">
        <f>69940*0.1135</f>
        <v>7938.1900000000005</v>
      </c>
    </row>
    <row r="70" spans="1:6" ht="25.5">
      <c r="A70" s="3">
        <v>4312112</v>
      </c>
      <c r="B70" s="3">
        <v>841126</v>
      </c>
      <c r="C70" s="3">
        <v>116</v>
      </c>
      <c r="D70" s="881" t="s">
        <v>2168</v>
      </c>
      <c r="E70" s="201">
        <v>1040</v>
      </c>
      <c r="F70" s="253">
        <f>11431*0.06</f>
        <v>685.86</v>
      </c>
    </row>
    <row r="71" spans="1:6" ht="25.5">
      <c r="A71" s="3">
        <v>4312117</v>
      </c>
      <c r="B71" s="3">
        <v>841126</v>
      </c>
      <c r="C71" s="3">
        <v>116</v>
      </c>
      <c r="D71" s="881" t="s">
        <v>284</v>
      </c>
      <c r="E71" s="201">
        <v>384</v>
      </c>
      <c r="F71" s="253">
        <f>5933*0.052</f>
        <v>308.51599999999996</v>
      </c>
    </row>
    <row r="72" spans="1:6" ht="12.75">
      <c r="A72" s="3">
        <v>43121115</v>
      </c>
      <c r="B72" s="3">
        <v>841126</v>
      </c>
      <c r="C72" s="3">
        <v>116</v>
      </c>
      <c r="D72" s="882" t="s">
        <v>286</v>
      </c>
      <c r="E72" s="201">
        <v>807</v>
      </c>
      <c r="F72" s="253">
        <f>1614*0.052</f>
        <v>83.928</v>
      </c>
    </row>
    <row r="73" spans="1:6" ht="25.5">
      <c r="A73" s="3">
        <v>4312118</v>
      </c>
      <c r="B73" s="3">
        <v>841126</v>
      </c>
      <c r="C73" s="3">
        <v>116</v>
      </c>
      <c r="D73" s="882" t="s">
        <v>287</v>
      </c>
      <c r="E73" s="201">
        <v>156</v>
      </c>
      <c r="F73" s="253">
        <f>156*0.042</f>
        <v>6.5520000000000005</v>
      </c>
    </row>
    <row r="74" spans="1:6" ht="25.5">
      <c r="A74" s="3">
        <v>4312119</v>
      </c>
      <c r="B74" s="3">
        <v>841126</v>
      </c>
      <c r="C74" s="3">
        <v>116</v>
      </c>
      <c r="D74" s="882" t="s">
        <v>288</v>
      </c>
      <c r="E74" s="201">
        <v>1496</v>
      </c>
      <c r="F74" s="253">
        <f>2862*0.044</f>
        <v>125.928</v>
      </c>
    </row>
    <row r="75" spans="1:6" ht="12.75">
      <c r="A75" s="3">
        <v>43131131</v>
      </c>
      <c r="B75" s="3">
        <v>841126</v>
      </c>
      <c r="C75" s="3">
        <v>116</v>
      </c>
      <c r="D75" s="882" t="s">
        <v>289</v>
      </c>
      <c r="E75" s="201">
        <v>3004</v>
      </c>
      <c r="F75" s="253">
        <f>14266*0.042</f>
        <v>599.172</v>
      </c>
    </row>
    <row r="76" spans="1:6" ht="38.25">
      <c r="A76" s="3">
        <v>43131132</v>
      </c>
      <c r="B76" s="3">
        <v>841126</v>
      </c>
      <c r="C76" s="3">
        <v>116</v>
      </c>
      <c r="D76" s="881" t="s">
        <v>1625</v>
      </c>
      <c r="E76" s="201">
        <v>846</v>
      </c>
      <c r="F76" s="253">
        <f>5064*0.052</f>
        <v>263.328</v>
      </c>
    </row>
    <row r="77" spans="1:6" ht="12.75">
      <c r="A77" s="3"/>
      <c r="B77" s="3">
        <v>841126</v>
      </c>
      <c r="C77" s="3">
        <v>116</v>
      </c>
      <c r="D77" s="881" t="s">
        <v>1626</v>
      </c>
      <c r="E77" s="201">
        <v>336</v>
      </c>
      <c r="F77" s="253">
        <f>2016*0.052</f>
        <v>104.832</v>
      </c>
    </row>
    <row r="78" spans="1:6" ht="38.25">
      <c r="A78" s="3"/>
      <c r="B78" s="3"/>
      <c r="C78" s="3"/>
      <c r="D78" s="219" t="s">
        <v>808</v>
      </c>
      <c r="E78" s="207">
        <f>155*313.6</f>
        <v>48608</v>
      </c>
      <c r="F78" s="253"/>
    </row>
    <row r="79" spans="1:5" ht="25.5">
      <c r="A79" s="5"/>
      <c r="B79" s="3"/>
      <c r="C79" s="3"/>
      <c r="D79" s="219" t="s">
        <v>290</v>
      </c>
      <c r="E79" s="207">
        <f>SUM(E68:E78)</f>
        <v>65240</v>
      </c>
    </row>
    <row r="80" spans="1:5" ht="12.75">
      <c r="A80" s="5"/>
      <c r="B80" s="3"/>
      <c r="C80" s="3"/>
      <c r="D80" s="219"/>
      <c r="E80" s="207"/>
    </row>
    <row r="81" spans="1:5" ht="25.5">
      <c r="A81" s="3">
        <v>573111211</v>
      </c>
      <c r="B81" s="3">
        <v>841126</v>
      </c>
      <c r="C81" s="3">
        <v>116</v>
      </c>
      <c r="D81" s="881" t="s">
        <v>291</v>
      </c>
      <c r="E81" s="2010">
        <f>33366*0.1135</f>
        <v>3787.041</v>
      </c>
    </row>
    <row r="82" spans="1:5" ht="25.5">
      <c r="A82" s="3">
        <v>57311214</v>
      </c>
      <c r="B82" s="3">
        <v>841126</v>
      </c>
      <c r="C82" s="3">
        <v>116</v>
      </c>
      <c r="D82" s="881" t="s">
        <v>292</v>
      </c>
      <c r="E82" s="2010">
        <f>69940*0.1135</f>
        <v>7938.1900000000005</v>
      </c>
    </row>
    <row r="83" spans="1:5" ht="25.5">
      <c r="A83" s="3">
        <v>573111212</v>
      </c>
      <c r="B83" s="3">
        <v>841126</v>
      </c>
      <c r="C83" s="3">
        <v>116</v>
      </c>
      <c r="D83" s="881" t="s">
        <v>2168</v>
      </c>
      <c r="E83" s="2010">
        <f>11431*0.06</f>
        <v>685.86</v>
      </c>
    </row>
    <row r="84" spans="1:5" ht="25.5">
      <c r="A84" s="3">
        <v>573111216</v>
      </c>
      <c r="B84" s="3">
        <v>841126</v>
      </c>
      <c r="C84" s="3">
        <v>116</v>
      </c>
      <c r="D84" s="881" t="s">
        <v>293</v>
      </c>
      <c r="E84" s="2010">
        <f>5933*0.052</f>
        <v>308.51599999999996</v>
      </c>
    </row>
    <row r="85" spans="1:5" ht="25.5">
      <c r="A85" s="3">
        <v>573111215</v>
      </c>
      <c r="B85" s="3">
        <v>841126</v>
      </c>
      <c r="C85" s="3">
        <v>116</v>
      </c>
      <c r="D85" s="881" t="s">
        <v>294</v>
      </c>
      <c r="E85" s="2010">
        <f>1614*0.052</f>
        <v>83.928</v>
      </c>
    </row>
    <row r="86" spans="1:5" ht="25.5">
      <c r="A86" s="3">
        <v>573111217</v>
      </c>
      <c r="B86" s="3">
        <v>841126</v>
      </c>
      <c r="C86" s="3">
        <v>116</v>
      </c>
      <c r="D86" s="881" t="s">
        <v>295</v>
      </c>
      <c r="E86" s="2010">
        <f>156*0.042</f>
        <v>6.5520000000000005</v>
      </c>
    </row>
    <row r="87" spans="1:5" ht="25.5">
      <c r="A87" s="3">
        <v>573111218</v>
      </c>
      <c r="B87" s="3">
        <v>841126</v>
      </c>
      <c r="C87" s="3">
        <v>116</v>
      </c>
      <c r="D87" s="881" t="s">
        <v>296</v>
      </c>
      <c r="E87" s="2010">
        <f>2862*0.044</f>
        <v>125.928</v>
      </c>
    </row>
    <row r="88" spans="1:6" ht="12.75">
      <c r="A88" s="3">
        <v>57311114</v>
      </c>
      <c r="B88" s="3">
        <v>841126</v>
      </c>
      <c r="C88" s="3">
        <v>116</v>
      </c>
      <c r="D88" s="881" t="s">
        <v>297</v>
      </c>
      <c r="E88" s="2010">
        <f>14266*0.042</f>
        <v>599.172</v>
      </c>
      <c r="F88" s="368">
        <v>483</v>
      </c>
    </row>
    <row r="89" spans="1:6" ht="38.25">
      <c r="A89" s="3">
        <v>57311113</v>
      </c>
      <c r="B89" s="3">
        <v>841126</v>
      </c>
      <c r="C89" s="3">
        <v>116</v>
      </c>
      <c r="D89" s="881" t="s">
        <v>1625</v>
      </c>
      <c r="E89" s="2010">
        <f>5064*0.052</f>
        <v>263.328</v>
      </c>
      <c r="F89" s="368">
        <v>307</v>
      </c>
    </row>
    <row r="90" spans="1:6" ht="12.75">
      <c r="A90" s="3"/>
      <c r="B90" s="3">
        <v>841126</v>
      </c>
      <c r="C90" s="3">
        <v>116</v>
      </c>
      <c r="D90" s="881" t="s">
        <v>1626</v>
      </c>
      <c r="E90" s="2010">
        <f>2016*0.052</f>
        <v>104.832</v>
      </c>
      <c r="F90" s="368"/>
    </row>
    <row r="91" spans="1:6" ht="38.25">
      <c r="A91" s="3"/>
      <c r="B91" s="3"/>
      <c r="C91" s="3"/>
      <c r="D91" s="219" t="s">
        <v>498</v>
      </c>
      <c r="E91" s="207">
        <f>155*0.02/12*11*313.6</f>
        <v>891.1466666666668</v>
      </c>
      <c r="F91" s="368"/>
    </row>
    <row r="92" spans="1:5" ht="25.5">
      <c r="A92" s="5"/>
      <c r="B92" s="5"/>
      <c r="C92" s="5"/>
      <c r="D92" s="219" t="s">
        <v>813</v>
      </c>
      <c r="E92" s="207">
        <f>SUM(E81:E91)</f>
        <v>14794.493666666667</v>
      </c>
    </row>
    <row r="93" spans="1:5" ht="12.75">
      <c r="A93" s="5"/>
      <c r="B93" s="5"/>
      <c r="C93" s="5"/>
      <c r="D93" s="219"/>
      <c r="E93" s="201"/>
    </row>
    <row r="94" spans="1:5" ht="12.75">
      <c r="A94" s="5"/>
      <c r="B94" s="5"/>
      <c r="C94" s="5"/>
      <c r="D94" s="219" t="s">
        <v>302</v>
      </c>
      <c r="E94" s="48"/>
    </row>
    <row r="95" spans="1:5" ht="12.75">
      <c r="A95" s="5"/>
      <c r="B95" s="5"/>
      <c r="C95" s="5"/>
      <c r="D95" s="219"/>
      <c r="E95" s="48"/>
    </row>
    <row r="96" spans="1:5" ht="25.5">
      <c r="A96" s="3">
        <v>45121</v>
      </c>
      <c r="B96" s="3">
        <v>841126</v>
      </c>
      <c r="C96" s="3">
        <v>116</v>
      </c>
      <c r="D96" s="881" t="s">
        <v>303</v>
      </c>
      <c r="E96" s="48">
        <v>0</v>
      </c>
    </row>
    <row r="97" spans="1:5" ht="38.25">
      <c r="A97" s="3">
        <v>451211</v>
      </c>
      <c r="B97" s="3">
        <v>841126</v>
      </c>
      <c r="C97" s="3">
        <v>116</v>
      </c>
      <c r="D97" s="881" t="s">
        <v>304</v>
      </c>
      <c r="E97" s="48"/>
    </row>
    <row r="98" spans="1:5" ht="25.5">
      <c r="A98" s="3"/>
      <c r="B98" s="3"/>
      <c r="C98" s="3"/>
      <c r="D98" s="219" t="s">
        <v>305</v>
      </c>
      <c r="E98" s="48">
        <f>E96+E97</f>
        <v>0</v>
      </c>
    </row>
    <row r="99" spans="1:5" ht="12.75">
      <c r="A99" s="3"/>
      <c r="B99" s="3"/>
      <c r="C99" s="3"/>
      <c r="D99" s="219"/>
      <c r="E99" s="48"/>
    </row>
    <row r="100" spans="1:5" ht="12.75">
      <c r="A100" s="3"/>
      <c r="B100" s="3"/>
      <c r="C100" s="3"/>
      <c r="D100" s="219" t="s">
        <v>306</v>
      </c>
      <c r="E100" s="48"/>
    </row>
    <row r="101" spans="1:5" ht="12.75">
      <c r="A101" s="3"/>
      <c r="B101" s="3"/>
      <c r="C101" s="3"/>
      <c r="D101" s="219"/>
      <c r="E101" s="48"/>
    </row>
    <row r="102" spans="1:5" ht="25.5">
      <c r="A102" s="3">
        <v>5731111111</v>
      </c>
      <c r="B102" s="3">
        <v>841126</v>
      </c>
      <c r="C102" s="3">
        <v>116</v>
      </c>
      <c r="D102" s="881" t="s">
        <v>307</v>
      </c>
      <c r="E102" s="48">
        <v>0</v>
      </c>
    </row>
    <row r="103" spans="1:5" ht="38.25">
      <c r="A103" s="3">
        <v>5731111112</v>
      </c>
      <c r="B103" s="3">
        <v>841126</v>
      </c>
      <c r="C103" s="3">
        <v>116</v>
      </c>
      <c r="D103" s="881" t="s">
        <v>308</v>
      </c>
      <c r="E103" s="48"/>
    </row>
    <row r="104" spans="1:5" ht="25.5">
      <c r="A104" s="3"/>
      <c r="B104" s="3"/>
      <c r="C104" s="3"/>
      <c r="D104" s="219" t="s">
        <v>309</v>
      </c>
      <c r="E104" s="48">
        <f>E102+E103</f>
        <v>0</v>
      </c>
    </row>
    <row r="105" spans="1:5" ht="12.75">
      <c r="A105" s="3"/>
      <c r="B105" s="3"/>
      <c r="C105" s="3"/>
      <c r="D105" s="219"/>
      <c r="E105" s="48"/>
    </row>
    <row r="106" spans="1:5" ht="12.75">
      <c r="A106" s="3"/>
      <c r="B106" s="3"/>
      <c r="C106" s="3"/>
      <c r="D106" s="885" t="s">
        <v>298</v>
      </c>
      <c r="E106" s="48"/>
    </row>
    <row r="107" spans="1:5" ht="12.75">
      <c r="A107" s="3"/>
      <c r="B107" s="3"/>
      <c r="C107" s="3"/>
      <c r="D107" s="5"/>
      <c r="E107" s="201"/>
    </row>
    <row r="108" spans="1:5" ht="25.5">
      <c r="A108" s="3">
        <v>5521212</v>
      </c>
      <c r="B108" s="3">
        <v>841126</v>
      </c>
      <c r="C108" s="3">
        <v>116</v>
      </c>
      <c r="D108" s="881" t="s">
        <v>299</v>
      </c>
      <c r="E108" s="201">
        <f>982605*12/1000</f>
        <v>11791.26</v>
      </c>
    </row>
    <row r="109" spans="1:5" ht="25.5">
      <c r="A109" s="3">
        <v>561212</v>
      </c>
      <c r="B109" s="3">
        <v>841126</v>
      </c>
      <c r="C109" s="3">
        <v>116</v>
      </c>
      <c r="D109" s="881" t="s">
        <v>300</v>
      </c>
      <c r="E109" s="201">
        <f>E108*0.27</f>
        <v>3183.6402000000003</v>
      </c>
    </row>
    <row r="110" spans="1:5" ht="12.75">
      <c r="A110" s="3"/>
      <c r="B110" s="3"/>
      <c r="C110" s="3"/>
      <c r="D110" s="885" t="s">
        <v>301</v>
      </c>
      <c r="E110" s="207">
        <f>E108+E109</f>
        <v>14974.9002</v>
      </c>
    </row>
    <row r="111" spans="1:5" ht="12.75">
      <c r="A111" s="3"/>
      <c r="B111" s="3"/>
      <c r="C111" s="3"/>
      <c r="D111" s="882"/>
      <c r="E111" s="201"/>
    </row>
    <row r="112" spans="1:5" ht="12.75">
      <c r="A112" s="3"/>
      <c r="B112" s="3"/>
      <c r="C112" s="3"/>
      <c r="D112" s="219" t="s">
        <v>1620</v>
      </c>
      <c r="E112" s="201"/>
    </row>
    <row r="113" spans="1:5" ht="12.75">
      <c r="A113" s="3"/>
      <c r="B113" s="3"/>
      <c r="C113" s="3"/>
      <c r="D113" s="882"/>
      <c r="E113" s="201"/>
    </row>
    <row r="114" spans="1:6" ht="12.75">
      <c r="A114" s="3">
        <v>5521221</v>
      </c>
      <c r="B114" s="3">
        <v>931102</v>
      </c>
      <c r="C114" s="3">
        <v>172</v>
      </c>
      <c r="D114" s="881" t="s">
        <v>310</v>
      </c>
      <c r="E114" s="201">
        <v>17595</v>
      </c>
      <c r="F114" s="8">
        <v>0.4</v>
      </c>
    </row>
    <row r="115" spans="1:5" ht="12.75">
      <c r="A115" s="3">
        <v>561211</v>
      </c>
      <c r="B115" s="3">
        <v>931102</v>
      </c>
      <c r="C115" s="3">
        <v>172</v>
      </c>
      <c r="D115" s="881" t="s">
        <v>311</v>
      </c>
      <c r="E115" s="201">
        <f>E114*0.27</f>
        <v>4750.650000000001</v>
      </c>
    </row>
    <row r="116" spans="1:5" ht="12.75">
      <c r="A116" s="3"/>
      <c r="B116" s="3"/>
      <c r="C116" s="3"/>
      <c r="D116" s="881"/>
      <c r="E116" s="201"/>
    </row>
    <row r="117" spans="1:5" ht="25.5">
      <c r="A117" s="3"/>
      <c r="B117" s="3"/>
      <c r="C117" s="3"/>
      <c r="D117" s="219" t="s">
        <v>312</v>
      </c>
      <c r="E117" s="207">
        <f>E114+E115</f>
        <v>22345.65</v>
      </c>
    </row>
    <row r="118" spans="1:5" ht="12.75">
      <c r="A118" s="3"/>
      <c r="B118" s="3"/>
      <c r="C118" s="3"/>
      <c r="D118" s="5"/>
      <c r="E118" s="201"/>
    </row>
    <row r="119" spans="1:5" ht="25.5">
      <c r="A119" s="3"/>
      <c r="B119" s="3"/>
      <c r="C119" s="3"/>
      <c r="D119" s="885" t="s">
        <v>1006</v>
      </c>
      <c r="E119" s="48">
        <f>E121</f>
        <v>4050.0000000000005</v>
      </c>
    </row>
    <row r="120" spans="1:5" ht="12.75">
      <c r="A120" s="3"/>
      <c r="B120" s="3"/>
      <c r="C120" s="3"/>
      <c r="D120" s="5"/>
      <c r="E120" s="48"/>
    </row>
    <row r="121" spans="1:5" ht="12.75">
      <c r="A121" s="3">
        <v>561131</v>
      </c>
      <c r="B121" s="3">
        <v>370000</v>
      </c>
      <c r="C121" s="3">
        <v>138</v>
      </c>
      <c r="D121" s="13" t="s">
        <v>593</v>
      </c>
      <c r="E121" s="48">
        <f>'Fejlesztési bevételek'!E20</f>
        <v>4050.0000000000005</v>
      </c>
    </row>
    <row r="122" spans="1:5" ht="12.75">
      <c r="A122" s="5"/>
      <c r="B122" s="5"/>
      <c r="C122" s="5"/>
      <c r="D122" s="5"/>
      <c r="E122" s="48"/>
    </row>
    <row r="123" spans="1:5" ht="12.75">
      <c r="A123" s="5"/>
      <c r="B123" s="5"/>
      <c r="C123" s="5"/>
      <c r="D123" s="11" t="s">
        <v>1622</v>
      </c>
      <c r="E123" s="48">
        <f>E125</f>
        <v>0</v>
      </c>
    </row>
    <row r="124" spans="1:5" ht="12.75">
      <c r="A124" s="5"/>
      <c r="B124" s="5"/>
      <c r="C124" s="5"/>
      <c r="D124" s="5"/>
      <c r="E124" s="48"/>
    </row>
    <row r="125" spans="1:5" ht="12.75">
      <c r="A125" s="3">
        <v>59212</v>
      </c>
      <c r="B125" s="3">
        <v>841126</v>
      </c>
      <c r="C125" s="3">
        <v>116</v>
      </c>
      <c r="D125" s="13" t="s">
        <v>594</v>
      </c>
      <c r="E125" s="48"/>
    </row>
    <row r="126" spans="1:5" ht="47.25" customHeight="1">
      <c r="A126" s="5"/>
      <c r="B126" s="5"/>
      <c r="C126" s="5"/>
      <c r="D126" s="886" t="s">
        <v>595</v>
      </c>
      <c r="E126" s="887">
        <f>E27+E56+E63+E79+E92+E98+E104+E110+E117+E119+E123</f>
        <v>1142875.8238666663</v>
      </c>
    </row>
  </sheetData>
  <sheetProtection/>
  <mergeCells count="1">
    <mergeCell ref="F6:F7"/>
  </mergeCells>
  <printOptions/>
  <pageMargins left="0.7" right="0.7" top="0.75" bottom="0.75" header="0.3" footer="0.3"/>
  <pageSetup horizontalDpi="600" verticalDpi="600" orientation="portrait" paperSize="9" scale="83" r:id="rId1"/>
  <rowBreaks count="2" manualBreakCount="2">
    <brk id="27" max="4" man="1"/>
    <brk id="56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1">
      <selection activeCell="G14" sqref="G14"/>
    </sheetView>
  </sheetViews>
  <sheetFormatPr defaultColWidth="9.140625" defaultRowHeight="12.75"/>
  <cols>
    <col min="1" max="1" width="11.140625" style="0" customWidth="1"/>
    <col min="2" max="2" width="15.8515625" style="0" customWidth="1"/>
    <col min="3" max="3" width="84.00390625" style="0" bestFit="1" customWidth="1"/>
    <col min="4" max="4" width="11.00390625" style="0" customWidth="1"/>
    <col min="5" max="5" width="11.8515625" style="0" customWidth="1"/>
  </cols>
  <sheetData>
    <row r="1" spans="1:5" ht="26.25" customHeight="1">
      <c r="A1" s="98"/>
      <c r="B1" s="98"/>
      <c r="C1" s="169" t="s">
        <v>1</v>
      </c>
      <c r="D1" s="98"/>
      <c r="E1" s="98"/>
    </row>
    <row r="2" spans="1:5" ht="30.75" customHeight="1">
      <c r="A2" s="391"/>
      <c r="B2" s="391"/>
      <c r="C2" s="392" t="s">
        <v>2240</v>
      </c>
      <c r="D2" s="391"/>
      <c r="E2" s="98"/>
    </row>
    <row r="3" spans="1:5" ht="24.75" customHeight="1">
      <c r="A3" s="98"/>
      <c r="B3" s="98"/>
      <c r="C3" s="98"/>
      <c r="D3" s="98"/>
      <c r="E3" s="98"/>
    </row>
    <row r="4" spans="1:5" ht="15">
      <c r="A4" s="2483" t="s">
        <v>771</v>
      </c>
      <c r="B4" s="2483"/>
      <c r="C4" s="2483"/>
      <c r="D4" s="2483"/>
      <c r="E4" s="2483"/>
    </row>
    <row r="5" spans="1:5" ht="15">
      <c r="A5" s="98" t="s">
        <v>1317</v>
      </c>
      <c r="B5" s="98" t="s">
        <v>1318</v>
      </c>
      <c r="C5" s="98" t="s">
        <v>1432</v>
      </c>
      <c r="D5" s="334" t="s">
        <v>1532</v>
      </c>
      <c r="E5" s="334" t="s">
        <v>1889</v>
      </c>
    </row>
    <row r="6" spans="1:5" ht="19.5" customHeight="1">
      <c r="A6" s="1447">
        <v>12546</v>
      </c>
      <c r="B6" s="1447">
        <v>3700001</v>
      </c>
      <c r="C6" s="14" t="s">
        <v>2243</v>
      </c>
      <c r="D6" s="14"/>
      <c r="E6" s="14">
        <f>E8/1.27</f>
        <v>384022.83464566927</v>
      </c>
    </row>
    <row r="7" spans="1:5" ht="19.5" customHeight="1">
      <c r="A7" s="14"/>
      <c r="B7" s="14"/>
      <c r="C7" s="14" t="s">
        <v>13</v>
      </c>
      <c r="D7" s="14"/>
      <c r="E7" s="14">
        <f>E6*0.27</f>
        <v>103686.1653543307</v>
      </c>
    </row>
    <row r="8" spans="1:5" ht="15.75">
      <c r="A8" s="2484" t="s">
        <v>2241</v>
      </c>
      <c r="B8" s="2484"/>
      <c r="C8" s="2485"/>
      <c r="D8" s="2485"/>
      <c r="E8" s="511">
        <v>487709</v>
      </c>
    </row>
    <row r="9" spans="1:5" ht="15.75">
      <c r="A9" s="1445"/>
      <c r="B9" s="1445"/>
      <c r="C9" s="1446"/>
      <c r="D9" s="1446"/>
      <c r="E9" s="700"/>
    </row>
    <row r="10" spans="1:6" ht="12.75">
      <c r="A10" s="1448"/>
      <c r="B10" s="1448"/>
      <c r="C10" s="17" t="s">
        <v>2243</v>
      </c>
      <c r="D10" s="17"/>
      <c r="E10" s="14">
        <f>318761-10</f>
        <v>318751</v>
      </c>
      <c r="F10" s="8">
        <v>0.83</v>
      </c>
    </row>
    <row r="11" spans="1:6" ht="12.75">
      <c r="A11" s="1448"/>
      <c r="B11" s="1448"/>
      <c r="C11" s="17" t="s">
        <v>2244</v>
      </c>
      <c r="D11" s="17"/>
      <c r="E11" s="14">
        <v>35894</v>
      </c>
      <c r="F11" s="23">
        <v>0.0935</v>
      </c>
    </row>
    <row r="12" spans="1:7" ht="12.75">
      <c r="A12" s="17"/>
      <c r="B12" s="17"/>
      <c r="C12" s="17" t="s">
        <v>1142</v>
      </c>
      <c r="D12" s="17"/>
      <c r="E12" s="17">
        <v>29378</v>
      </c>
      <c r="F12" s="23">
        <v>0.0765</v>
      </c>
      <c r="G12" s="253">
        <f>E12*0.06</f>
        <v>1762.6799999999998</v>
      </c>
    </row>
    <row r="13" spans="1:7" ht="12.75">
      <c r="A13" s="17"/>
      <c r="B13" s="17"/>
      <c r="C13" s="17" t="s">
        <v>1143</v>
      </c>
      <c r="D13" s="17"/>
      <c r="E13" s="17">
        <f>E7</f>
        <v>103686.1653543307</v>
      </c>
      <c r="G13" s="253">
        <f>E13*0.06</f>
        <v>6221.169921259842</v>
      </c>
    </row>
    <row r="14" spans="1:7" ht="12.75">
      <c r="A14" s="17"/>
      <c r="B14" s="17"/>
      <c r="C14" s="17"/>
      <c r="D14" s="17"/>
      <c r="E14" s="17"/>
      <c r="G14" s="253">
        <f>SUM(G12:G13)</f>
        <v>7983.849921259842</v>
      </c>
    </row>
    <row r="15" spans="1:5" ht="15.75">
      <c r="A15" s="2486" t="s">
        <v>2242</v>
      </c>
      <c r="B15" s="2487"/>
      <c r="C15" s="2487"/>
      <c r="D15" s="1449"/>
      <c r="E15" s="511">
        <f>SUM(E10:E14)</f>
        <v>487709.1653543307</v>
      </c>
    </row>
    <row r="16" spans="1:5" ht="15">
      <c r="A16" s="98"/>
      <c r="B16" s="98"/>
      <c r="C16" s="98"/>
      <c r="D16" s="98"/>
      <c r="E16" s="98"/>
    </row>
  </sheetData>
  <sheetProtection/>
  <mergeCells count="3">
    <mergeCell ref="A4:E4"/>
    <mergeCell ref="A8:D8"/>
    <mergeCell ref="A15:C1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E90"/>
  <sheetViews>
    <sheetView view="pageBreakPreview" zoomScaleSheetLayoutView="100" zoomScalePageLayoutView="0" workbookViewId="0" topLeftCell="A24">
      <selection activeCell="E12" sqref="E12"/>
    </sheetView>
  </sheetViews>
  <sheetFormatPr defaultColWidth="9.140625" defaultRowHeight="12.75"/>
  <cols>
    <col min="1" max="1" width="11.00390625" style="210" bestFit="1" customWidth="1"/>
    <col min="2" max="2" width="11.7109375" style="210" bestFit="1" customWidth="1"/>
    <col min="3" max="3" width="6.7109375" style="210" customWidth="1"/>
    <col min="4" max="4" width="45.28125" style="464" customWidth="1"/>
    <col min="5" max="5" width="13.8515625" style="210" bestFit="1" customWidth="1"/>
  </cols>
  <sheetData>
    <row r="1" ht="12.75">
      <c r="D1" s="362" t="s">
        <v>1</v>
      </c>
    </row>
    <row r="2" ht="27.75" customHeight="1">
      <c r="D2" s="463" t="s">
        <v>994</v>
      </c>
    </row>
    <row r="3" spans="1:5" s="460" customFormat="1" ht="25.5" customHeight="1">
      <c r="A3" s="49" t="s">
        <v>1317</v>
      </c>
      <c r="B3" s="49" t="s">
        <v>1318</v>
      </c>
      <c r="C3" s="49" t="s">
        <v>1319</v>
      </c>
      <c r="D3" s="286" t="s">
        <v>1432</v>
      </c>
      <c r="E3" s="49" t="s">
        <v>1756</v>
      </c>
    </row>
    <row r="4" spans="1:5" s="9" customFormat="1" ht="12.75">
      <c r="A4" s="54"/>
      <c r="B4" s="54"/>
      <c r="C4" s="54"/>
      <c r="D4" s="877" t="s">
        <v>739</v>
      </c>
      <c r="E4" s="213"/>
    </row>
    <row r="5" spans="1:5" s="9" customFormat="1" ht="12.75">
      <c r="A5" s="54"/>
      <c r="B5" s="54"/>
      <c r="C5" s="54"/>
      <c r="D5" s="877"/>
      <c r="E5" s="213"/>
    </row>
    <row r="6" spans="1:5" s="9" customFormat="1" ht="25.5">
      <c r="A6" s="54"/>
      <c r="B6" s="54"/>
      <c r="C6" s="54"/>
      <c r="D6" s="877" t="s">
        <v>1320</v>
      </c>
      <c r="E6" s="213"/>
    </row>
    <row r="7" spans="1:5" ht="12.75">
      <c r="A7" s="2">
        <v>9311311</v>
      </c>
      <c r="B7" s="3">
        <v>841126</v>
      </c>
      <c r="C7" s="3">
        <v>116</v>
      </c>
      <c r="D7" s="760" t="s">
        <v>1321</v>
      </c>
      <c r="E7" s="758">
        <v>57000</v>
      </c>
    </row>
    <row r="8" spans="1:5" ht="12.75">
      <c r="A8" s="2"/>
      <c r="B8" s="3"/>
      <c r="C8" s="3"/>
      <c r="D8" s="760" t="s">
        <v>494</v>
      </c>
      <c r="E8" s="758">
        <v>30000</v>
      </c>
    </row>
    <row r="9" spans="1:5" ht="12.75">
      <c r="A9" s="2"/>
      <c r="B9" s="3"/>
      <c r="C9" s="3"/>
      <c r="D9" s="760" t="s">
        <v>1746</v>
      </c>
      <c r="E9" s="758">
        <v>8086</v>
      </c>
    </row>
    <row r="10" spans="1:5" ht="12.75">
      <c r="A10" s="2">
        <v>9311314</v>
      </c>
      <c r="B10" s="3">
        <v>841126</v>
      </c>
      <c r="C10" s="446">
        <v>116</v>
      </c>
      <c r="D10" s="760" t="s">
        <v>1322</v>
      </c>
      <c r="E10" s="48">
        <v>9000</v>
      </c>
    </row>
    <row r="11" spans="1:5" ht="12.75">
      <c r="A11" s="2">
        <v>9311312</v>
      </c>
      <c r="B11" s="3">
        <v>841126</v>
      </c>
      <c r="C11" s="446">
        <v>116</v>
      </c>
      <c r="D11" s="760" t="s">
        <v>1323</v>
      </c>
      <c r="E11" s="211">
        <v>26000</v>
      </c>
    </row>
    <row r="12" spans="1:5" ht="12.75">
      <c r="A12" s="2">
        <v>931131</v>
      </c>
      <c r="B12" s="3">
        <v>841126</v>
      </c>
      <c r="C12" s="446">
        <v>116</v>
      </c>
      <c r="D12" s="760" t="s">
        <v>1324</v>
      </c>
      <c r="E12" s="48">
        <v>7000</v>
      </c>
    </row>
    <row r="13" spans="1:5" ht="12.75">
      <c r="A13" s="2"/>
      <c r="B13" s="3"/>
      <c r="C13" s="3"/>
      <c r="D13" s="877" t="s">
        <v>740</v>
      </c>
      <c r="E13" s="213">
        <f>SUM(E7:E12)</f>
        <v>137086</v>
      </c>
    </row>
    <row r="14" spans="1:5" ht="12.75">
      <c r="A14" s="2"/>
      <c r="B14" s="3"/>
      <c r="C14" s="3"/>
      <c r="D14" s="878"/>
      <c r="E14" s="48"/>
    </row>
    <row r="15" spans="1:5" s="9" customFormat="1" ht="25.5">
      <c r="A15" s="54"/>
      <c r="B15" s="49"/>
      <c r="C15" s="49"/>
      <c r="D15" s="877" t="s">
        <v>1964</v>
      </c>
      <c r="E15" s="213"/>
    </row>
    <row r="16" spans="1:5" ht="12.75">
      <c r="A16" s="2">
        <v>19431</v>
      </c>
      <c r="B16" s="3">
        <v>841126</v>
      </c>
      <c r="C16" s="3">
        <v>116</v>
      </c>
      <c r="D16" s="760" t="s">
        <v>741</v>
      </c>
      <c r="E16" s="211">
        <v>2704</v>
      </c>
    </row>
    <row r="17" spans="1:5" ht="12.75">
      <c r="A17" s="2">
        <v>9321191</v>
      </c>
      <c r="B17" s="3">
        <v>841126</v>
      </c>
      <c r="C17" s="3">
        <v>116</v>
      </c>
      <c r="D17" s="760" t="s">
        <v>742</v>
      </c>
      <c r="E17" s="211">
        <v>109</v>
      </c>
    </row>
    <row r="18" spans="1:5" ht="12.75">
      <c r="A18" s="2">
        <v>932192</v>
      </c>
      <c r="B18" s="3">
        <v>841126</v>
      </c>
      <c r="C18" s="3">
        <v>116</v>
      </c>
      <c r="D18" s="760" t="s">
        <v>743</v>
      </c>
      <c r="E18" s="211">
        <v>1979</v>
      </c>
    </row>
    <row r="19" spans="1:5" ht="12.75">
      <c r="A19" s="2">
        <v>9351122</v>
      </c>
      <c r="B19" s="3">
        <v>370000</v>
      </c>
      <c r="C19" s="3">
        <v>138</v>
      </c>
      <c r="D19" s="760" t="s">
        <v>744</v>
      </c>
      <c r="E19" s="211">
        <v>15000</v>
      </c>
    </row>
    <row r="20" spans="1:5" ht="12.75">
      <c r="A20" s="2">
        <v>919141</v>
      </c>
      <c r="B20" s="3">
        <v>370000</v>
      </c>
      <c r="C20" s="3">
        <v>138</v>
      </c>
      <c r="D20" s="760" t="s">
        <v>745</v>
      </c>
      <c r="E20" s="211">
        <f>E19*0.27</f>
        <v>4050.0000000000005</v>
      </c>
    </row>
    <row r="21" spans="1:5" ht="12.75">
      <c r="A21" s="2">
        <v>922141</v>
      </c>
      <c r="B21" s="3">
        <v>841133</v>
      </c>
      <c r="C21" s="3">
        <v>116</v>
      </c>
      <c r="D21" s="760" t="s">
        <v>1531</v>
      </c>
      <c r="E21" s="211">
        <v>19700</v>
      </c>
    </row>
    <row r="22" spans="1:5" ht="25.5">
      <c r="A22" s="2"/>
      <c r="B22" s="2"/>
      <c r="C22" s="2"/>
      <c r="D22" s="877" t="s">
        <v>746</v>
      </c>
      <c r="E22" s="213">
        <f>SUM(E16:E21)</f>
        <v>43542</v>
      </c>
    </row>
    <row r="23" spans="1:5" ht="12.75">
      <c r="A23" s="2"/>
      <c r="B23" s="2"/>
      <c r="C23" s="2"/>
      <c r="D23" s="878"/>
      <c r="E23" s="48"/>
    </row>
    <row r="24" spans="1:5" s="9" customFormat="1" ht="25.5">
      <c r="A24" s="54"/>
      <c r="B24" s="54"/>
      <c r="C24" s="54"/>
      <c r="D24" s="877" t="s">
        <v>1607</v>
      </c>
      <c r="E24" s="213"/>
    </row>
    <row r="25" spans="1:5" ht="12.75">
      <c r="A25" s="2"/>
      <c r="B25" s="2"/>
      <c r="C25" s="2"/>
      <c r="D25" s="878"/>
      <c r="E25" s="48"/>
    </row>
    <row r="26" spans="1:5" ht="12.75">
      <c r="A26" s="2"/>
      <c r="B26" s="3">
        <v>841126</v>
      </c>
      <c r="C26" s="3">
        <v>116</v>
      </c>
      <c r="D26" s="760" t="s">
        <v>495</v>
      </c>
      <c r="E26" s="48">
        <v>75886</v>
      </c>
    </row>
    <row r="27" spans="1:5" ht="12.75">
      <c r="A27" s="2"/>
      <c r="B27" s="3"/>
      <c r="C27" s="3"/>
      <c r="D27" s="760" t="s">
        <v>496</v>
      </c>
      <c r="E27" s="48">
        <v>2995</v>
      </c>
    </row>
    <row r="28" spans="1:5" ht="12.75">
      <c r="A28" s="2"/>
      <c r="B28" s="3"/>
      <c r="C28" s="3"/>
      <c r="D28" s="760" t="s">
        <v>497</v>
      </c>
      <c r="E28" s="48">
        <v>187583</v>
      </c>
    </row>
    <row r="29" spans="1:5" ht="25.5">
      <c r="A29" s="366">
        <v>46511213</v>
      </c>
      <c r="B29" s="3">
        <v>841126</v>
      </c>
      <c r="C29" s="3">
        <v>116</v>
      </c>
      <c r="D29" s="760" t="s">
        <v>978</v>
      </c>
      <c r="E29" s="211">
        <v>4765</v>
      </c>
    </row>
    <row r="30" spans="1:5" ht="12.75">
      <c r="A30" s="2">
        <v>465112113</v>
      </c>
      <c r="B30" s="3">
        <v>841126</v>
      </c>
      <c r="C30" s="3">
        <v>116</v>
      </c>
      <c r="D30" s="760" t="s">
        <v>979</v>
      </c>
      <c r="E30" s="211">
        <v>150741</v>
      </c>
    </row>
    <row r="31" spans="1:5" ht="12.75">
      <c r="A31" s="2">
        <v>465112114</v>
      </c>
      <c r="B31" s="3">
        <v>841126</v>
      </c>
      <c r="C31" s="3">
        <v>116</v>
      </c>
      <c r="D31" s="760" t="s">
        <v>980</v>
      </c>
      <c r="E31" s="211">
        <v>22334</v>
      </c>
    </row>
    <row r="32" spans="1:5" ht="12.75">
      <c r="A32" s="2">
        <v>4651121131</v>
      </c>
      <c r="B32" s="3">
        <v>841126</v>
      </c>
      <c r="C32" s="3">
        <v>116</v>
      </c>
      <c r="D32" s="760" t="s">
        <v>981</v>
      </c>
      <c r="E32" s="211">
        <f>200.6569*313.6</f>
        <v>62926.003840000005</v>
      </c>
    </row>
    <row r="33" spans="1:5" ht="12.75">
      <c r="A33" s="2"/>
      <c r="B33" s="3">
        <v>841126</v>
      </c>
      <c r="C33" s="3">
        <v>116</v>
      </c>
      <c r="D33" s="760" t="s">
        <v>464</v>
      </c>
      <c r="E33" s="201">
        <v>0</v>
      </c>
    </row>
    <row r="34" spans="1:5" ht="12.75">
      <c r="A34" s="2"/>
      <c r="B34" s="3"/>
      <c r="C34" s="3"/>
      <c r="D34" s="760"/>
      <c r="E34" s="48"/>
    </row>
    <row r="35" spans="1:5" ht="12.75">
      <c r="A35" s="2"/>
      <c r="B35" s="3"/>
      <c r="C35" s="3"/>
      <c r="D35" s="760" t="s">
        <v>666</v>
      </c>
      <c r="E35" s="211">
        <v>4903</v>
      </c>
    </row>
    <row r="36" spans="1:5" ht="12.75">
      <c r="A36" s="2"/>
      <c r="B36" s="3"/>
      <c r="C36" s="3"/>
      <c r="D36" s="760"/>
      <c r="E36" s="201"/>
    </row>
    <row r="37" spans="1:5" ht="12.75">
      <c r="A37" s="2"/>
      <c r="B37" s="3"/>
      <c r="C37" s="3"/>
      <c r="D37" s="13" t="s">
        <v>1146</v>
      </c>
      <c r="E37" s="201">
        <f>Szennyvíztársulás!E10</f>
        <v>318751</v>
      </c>
    </row>
    <row r="38" spans="1:5" ht="12.75">
      <c r="A38" s="2"/>
      <c r="B38" s="3"/>
      <c r="C38" s="3"/>
      <c r="D38" s="760" t="s">
        <v>1145</v>
      </c>
      <c r="E38" s="201">
        <f>Szennyvíztársulás!E11</f>
        <v>35894</v>
      </c>
    </row>
    <row r="39" spans="1:5" ht="12.75">
      <c r="A39" s="2"/>
      <c r="B39" s="3"/>
      <c r="C39" s="3"/>
      <c r="D39" s="760"/>
      <c r="E39" s="201"/>
    </row>
    <row r="40" spans="1:5" ht="25.5">
      <c r="A40" s="2">
        <v>4651121133</v>
      </c>
      <c r="B40" s="3">
        <v>841126</v>
      </c>
      <c r="C40" s="3">
        <v>116</v>
      </c>
      <c r="D40" s="760" t="s">
        <v>982</v>
      </c>
      <c r="E40" s="48">
        <v>11615</v>
      </c>
    </row>
    <row r="41" spans="1:5" ht="25.5">
      <c r="A41" s="2"/>
      <c r="B41" s="3"/>
      <c r="C41" s="3"/>
      <c r="D41" s="877" t="s">
        <v>983</v>
      </c>
      <c r="E41" s="213">
        <f>SUM(E26:E40)</f>
        <v>878393.00384</v>
      </c>
    </row>
    <row r="42" spans="1:5" ht="12.75">
      <c r="A42" s="2"/>
      <c r="B42" s="3"/>
      <c r="C42" s="3"/>
      <c r="D42" s="878"/>
      <c r="E42" s="48"/>
    </row>
    <row r="43" spans="1:5" ht="25.5">
      <c r="A43" s="2"/>
      <c r="B43" s="3"/>
      <c r="C43" s="3"/>
      <c r="D43" s="877" t="s">
        <v>984</v>
      </c>
      <c r="E43" s="48"/>
    </row>
    <row r="44" spans="1:5" ht="12.75">
      <c r="A44" s="3">
        <v>472131</v>
      </c>
      <c r="B44" s="3">
        <v>841126</v>
      </c>
      <c r="C44" s="3">
        <v>116</v>
      </c>
      <c r="D44" s="450" t="s">
        <v>806</v>
      </c>
      <c r="E44" s="342">
        <v>1687</v>
      </c>
    </row>
    <row r="45" spans="1:5" ht="12.75">
      <c r="A45" s="3"/>
      <c r="B45" s="3"/>
      <c r="C45" s="3"/>
      <c r="D45" s="13" t="s">
        <v>1147</v>
      </c>
      <c r="E45" s="342">
        <f>Szennyvíztársulás!E12+Szennyvíztársulás!E13-7984</f>
        <v>125080.1653543307</v>
      </c>
    </row>
    <row r="46" spans="1:5" ht="38.25">
      <c r="A46" s="3">
        <v>472132</v>
      </c>
      <c r="B46" s="3">
        <v>841126</v>
      </c>
      <c r="C46" s="3">
        <v>116</v>
      </c>
      <c r="D46" s="450" t="s">
        <v>985</v>
      </c>
      <c r="E46" s="1025">
        <v>2063</v>
      </c>
    </row>
    <row r="47" spans="1:5" ht="25.5">
      <c r="A47" s="3"/>
      <c r="B47" s="3"/>
      <c r="C47" s="3"/>
      <c r="D47" s="877" t="s">
        <v>986</v>
      </c>
      <c r="E47" s="187">
        <f>SUM(E44:E46)</f>
        <v>128830.1653543307</v>
      </c>
    </row>
    <row r="48" spans="1:5" ht="12.75">
      <c r="A48" s="3"/>
      <c r="B48" s="3"/>
      <c r="C48" s="3"/>
      <c r="D48" s="293"/>
      <c r="E48" s="202"/>
    </row>
    <row r="49" spans="1:5" ht="12.75">
      <c r="A49" s="3"/>
      <c r="B49" s="3"/>
      <c r="C49" s="3"/>
      <c r="D49" s="879" t="s">
        <v>990</v>
      </c>
      <c r="E49" s="187">
        <v>0</v>
      </c>
    </row>
    <row r="50" spans="1:5" ht="12.75">
      <c r="A50" s="3"/>
      <c r="B50" s="3"/>
      <c r="C50" s="3"/>
      <c r="D50" s="880"/>
      <c r="E50" s="202"/>
    </row>
    <row r="51" spans="1:5" ht="25.5">
      <c r="A51" s="3"/>
      <c r="B51" s="3"/>
      <c r="C51" s="3"/>
      <c r="D51" s="879" t="s">
        <v>991</v>
      </c>
      <c r="E51" s="187"/>
    </row>
    <row r="52" spans="1:5" ht="12.75">
      <c r="A52" s="3"/>
      <c r="B52" s="3"/>
      <c r="C52" s="3"/>
      <c r="D52" s="880"/>
      <c r="E52" s="202"/>
    </row>
    <row r="53" spans="1:5" ht="12.75">
      <c r="A53" s="3"/>
      <c r="B53" s="4"/>
      <c r="C53" s="4"/>
      <c r="D53" s="878"/>
      <c r="E53" s="48"/>
    </row>
    <row r="54" spans="1:5" ht="12.75">
      <c r="A54" s="3"/>
      <c r="B54" s="4"/>
      <c r="C54" s="4"/>
      <c r="D54" s="877" t="s">
        <v>992</v>
      </c>
      <c r="E54" s="48"/>
    </row>
    <row r="55" spans="1:5" ht="12.75">
      <c r="A55" s="3"/>
      <c r="B55" s="4"/>
      <c r="C55" s="4"/>
      <c r="D55" s="878"/>
      <c r="E55" s="48"/>
    </row>
    <row r="56" spans="1:5" ht="12.75">
      <c r="A56" s="3"/>
      <c r="B56" s="4"/>
      <c r="C56" s="4"/>
      <c r="D56" s="760" t="s">
        <v>465</v>
      </c>
      <c r="E56" s="201">
        <v>0</v>
      </c>
    </row>
    <row r="57" spans="1:5" ht="12.75">
      <c r="A57" s="3"/>
      <c r="B57" s="4"/>
      <c r="C57" s="4"/>
      <c r="D57" s="760"/>
      <c r="E57" s="48"/>
    </row>
    <row r="58" spans="1:5" ht="12.75">
      <c r="A58" s="3"/>
      <c r="B58" s="4"/>
      <c r="C58" s="4"/>
      <c r="D58" s="760"/>
      <c r="E58" s="48"/>
    </row>
    <row r="59" spans="1:5" ht="12.75">
      <c r="A59" s="2"/>
      <c r="B59" s="2"/>
      <c r="C59" s="2"/>
      <c r="D59" s="877" t="s">
        <v>993</v>
      </c>
      <c r="E59" s="213">
        <f>E56+E57+E58</f>
        <v>0</v>
      </c>
    </row>
    <row r="60" spans="1:5" ht="12.75">
      <c r="A60" s="2"/>
      <c r="B60" s="2"/>
      <c r="C60" s="2"/>
      <c r="D60" s="878"/>
      <c r="E60" s="48"/>
    </row>
    <row r="61" spans="1:5" ht="36">
      <c r="A61" s="2"/>
      <c r="B61" s="2"/>
      <c r="C61" s="2"/>
      <c r="D61" s="415" t="s">
        <v>1608</v>
      </c>
      <c r="E61" s="263">
        <f>+E59+E51+E49+E47+E41+E22+E13</f>
        <v>1187851.1691943307</v>
      </c>
    </row>
    <row r="62" ht="12.75">
      <c r="E62" s="368"/>
    </row>
    <row r="63" ht="12.75">
      <c r="E63" s="368"/>
    </row>
    <row r="64" ht="12.75">
      <c r="E64" s="368"/>
    </row>
    <row r="65" ht="12.75">
      <c r="E65" s="368"/>
    </row>
    <row r="66" ht="12.75">
      <c r="E66" s="368"/>
    </row>
    <row r="67" ht="12.75">
      <c r="E67" s="368"/>
    </row>
    <row r="68" ht="12.75">
      <c r="E68" s="368"/>
    </row>
    <row r="69" ht="12.75">
      <c r="E69" s="368"/>
    </row>
    <row r="70" ht="12.75">
      <c r="E70" s="368"/>
    </row>
    <row r="71" ht="12.75">
      <c r="E71" s="368"/>
    </row>
    <row r="72" ht="12.75">
      <c r="E72" s="368"/>
    </row>
    <row r="73" ht="12.75">
      <c r="E73" s="368"/>
    </row>
    <row r="74" ht="12.75">
      <c r="E74" s="368"/>
    </row>
    <row r="75" ht="12.75">
      <c r="E75" s="368"/>
    </row>
    <row r="76" ht="12.75">
      <c r="E76" s="368"/>
    </row>
    <row r="77" ht="12.75">
      <c r="E77" s="368"/>
    </row>
    <row r="78" ht="12.75">
      <c r="E78" s="368"/>
    </row>
    <row r="79" ht="12.75">
      <c r="E79" s="368"/>
    </row>
    <row r="80" ht="12.75">
      <c r="E80" s="368"/>
    </row>
    <row r="81" ht="12.75">
      <c r="E81" s="368"/>
    </row>
    <row r="82" ht="12.75">
      <c r="E82" s="368"/>
    </row>
    <row r="83" ht="12.75">
      <c r="E83" s="368"/>
    </row>
    <row r="84" ht="12.75">
      <c r="E84" s="368"/>
    </row>
    <row r="85" ht="12.75">
      <c r="E85" s="368"/>
    </row>
    <row r="86" ht="12.75">
      <c r="E86" s="368"/>
    </row>
    <row r="87" ht="12.75">
      <c r="E87" s="368"/>
    </row>
    <row r="88" ht="12.75">
      <c r="E88" s="368"/>
    </row>
    <row r="89" ht="12.75">
      <c r="E89" s="368"/>
    </row>
    <row r="90" ht="12.75">
      <c r="E90" s="368"/>
    </row>
  </sheetData>
  <sheetProtection/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41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9"/>
  <sheetViews>
    <sheetView view="pageBreakPreview" zoomScaleSheetLayoutView="100" zoomScalePageLayoutView="0" workbookViewId="0" topLeftCell="A10">
      <selection activeCell="E23" sqref="E23"/>
    </sheetView>
  </sheetViews>
  <sheetFormatPr defaultColWidth="9.140625" defaultRowHeight="12.75"/>
  <cols>
    <col min="1" max="1" width="13.7109375" style="98" bestFit="1" customWidth="1"/>
    <col min="2" max="2" width="61.8515625" style="98" bestFit="1" customWidth="1"/>
    <col min="3" max="4" width="13.57421875" style="98" bestFit="1" customWidth="1"/>
    <col min="5" max="5" width="14.140625" style="98" bestFit="1" customWidth="1"/>
    <col min="6" max="6" width="9.8515625" style="98" bestFit="1" customWidth="1"/>
    <col min="7" max="7" width="13.57421875" style="98" bestFit="1" customWidth="1"/>
    <col min="8" max="8" width="10.57421875" style="98" bestFit="1" customWidth="1"/>
    <col min="9" max="16384" width="9.140625" style="98" customWidth="1"/>
  </cols>
  <sheetData>
    <row r="1" ht="24.75" customHeight="1">
      <c r="B1" s="169" t="s">
        <v>9</v>
      </c>
    </row>
    <row r="2" spans="1:3" ht="26.25" customHeight="1">
      <c r="A2" s="391"/>
      <c r="B2" s="392" t="s">
        <v>1027</v>
      </c>
      <c r="C2" s="391"/>
    </row>
    <row r="4" spans="1:5" ht="15">
      <c r="A4" s="2483" t="s">
        <v>1373</v>
      </c>
      <c r="B4" s="2483"/>
      <c r="C4" s="2483"/>
      <c r="D4" s="2483"/>
      <c r="E4" s="2483"/>
    </row>
    <row r="6" spans="1:5" s="30" customFormat="1" ht="15.75">
      <c r="A6" s="13">
        <v>52211</v>
      </c>
      <c r="B6" s="13" t="s">
        <v>1014</v>
      </c>
      <c r="C6" s="13"/>
      <c r="D6" s="13"/>
      <c r="E6" s="13"/>
    </row>
    <row r="7" spans="1:5" ht="15.75">
      <c r="A7" s="2490" t="s">
        <v>1015</v>
      </c>
      <c r="B7" s="2491"/>
      <c r="C7" s="2491"/>
      <c r="D7" s="2491"/>
      <c r="E7" s="511">
        <f>E6</f>
        <v>0</v>
      </c>
    </row>
    <row r="8" spans="1:5" s="701" customFormat="1" ht="15.75">
      <c r="A8" s="698"/>
      <c r="B8" s="699"/>
      <c r="C8" s="699"/>
      <c r="D8" s="699"/>
      <c r="E8" s="700"/>
    </row>
    <row r="9" spans="1:5" s="30" customFormat="1" ht="15.75">
      <c r="A9" s="13">
        <v>5331</v>
      </c>
      <c r="B9" s="13" t="s">
        <v>171</v>
      </c>
      <c r="C9" s="13"/>
      <c r="D9" s="13"/>
      <c r="E9" s="14"/>
    </row>
    <row r="10" spans="1:5" ht="15.75">
      <c r="A10" s="2490" t="s">
        <v>1016</v>
      </c>
      <c r="B10" s="2491"/>
      <c r="C10" s="2491"/>
      <c r="D10" s="2491"/>
      <c r="E10" s="511">
        <f>E9</f>
        <v>0</v>
      </c>
    </row>
    <row r="12" spans="1:5" ht="15">
      <c r="A12" s="2488" t="s">
        <v>172</v>
      </c>
      <c r="B12" s="2488"/>
      <c r="C12" s="2488"/>
      <c r="D12" s="2488"/>
      <c r="E12" s="2488"/>
    </row>
    <row r="13" spans="1:5" ht="15">
      <c r="A13" s="2488" t="s">
        <v>1388</v>
      </c>
      <c r="B13" s="2488"/>
      <c r="C13" s="2488"/>
      <c r="D13" s="2488"/>
      <c r="E13" s="2488"/>
    </row>
    <row r="14" spans="3:5" ht="15">
      <c r="C14" s="105"/>
      <c r="D14" s="105"/>
      <c r="E14" s="105"/>
    </row>
    <row r="15" spans="1:6" ht="15">
      <c r="A15" s="13">
        <v>55214</v>
      </c>
      <c r="B15" s="567" t="s">
        <v>1394</v>
      </c>
      <c r="C15" s="14"/>
      <c r="D15" s="14"/>
      <c r="E15" s="14">
        <f>6001*1.042</f>
        <v>6253.042</v>
      </c>
      <c r="F15" s="98">
        <v>2400</v>
      </c>
    </row>
    <row r="16" spans="1:5" ht="15">
      <c r="A16" s="13">
        <v>55215</v>
      </c>
      <c r="B16" s="567" t="s">
        <v>2</v>
      </c>
      <c r="C16" s="14"/>
      <c r="D16" s="14"/>
      <c r="E16" s="14">
        <v>1000</v>
      </c>
    </row>
    <row r="17" spans="1:5" ht="15">
      <c r="A17" s="13">
        <v>55217</v>
      </c>
      <c r="B17" s="567" t="s">
        <v>1396</v>
      </c>
      <c r="C17" s="14"/>
      <c r="D17" s="14"/>
      <c r="E17" s="14">
        <v>4000</v>
      </c>
    </row>
    <row r="18" spans="1:5" ht="15">
      <c r="A18" s="532">
        <v>56111</v>
      </c>
      <c r="B18" s="568" t="s">
        <v>1399</v>
      </c>
      <c r="C18" s="568"/>
      <c r="D18" s="568"/>
      <c r="E18" s="569">
        <f>+(E17+E16+E15)*0.25</f>
        <v>2813.2605000000003</v>
      </c>
    </row>
    <row r="19" spans="1:5" ht="15">
      <c r="A19" s="532">
        <v>57219</v>
      </c>
      <c r="B19" s="568" t="s">
        <v>1877</v>
      </c>
      <c r="C19" s="569"/>
      <c r="D19" s="569">
        <f>SUM(C20:C22)</f>
        <v>337716</v>
      </c>
      <c r="E19" s="569">
        <f>+ROUND(D19,-3)/1000</f>
        <v>338</v>
      </c>
    </row>
    <row r="20" spans="1:5" ht="15">
      <c r="A20" s="532"/>
      <c r="B20" s="568" t="s">
        <v>491</v>
      </c>
      <c r="C20" s="569">
        <f>35801*4</f>
        <v>143204</v>
      </c>
      <c r="D20" s="569"/>
      <c r="E20" s="569"/>
    </row>
    <row r="21" spans="1:5" ht="15">
      <c r="A21" s="532"/>
      <c r="B21" s="568" t="s">
        <v>1096</v>
      </c>
      <c r="C21" s="569">
        <f>9961*4</f>
        <v>39844</v>
      </c>
      <c r="D21" s="569"/>
      <c r="E21" s="569"/>
    </row>
    <row r="22" spans="1:5" ht="15">
      <c r="A22" s="532"/>
      <c r="B22" s="568" t="s">
        <v>492</v>
      </c>
      <c r="C22" s="569">
        <f>38667*4</f>
        <v>154668</v>
      </c>
      <c r="D22" s="569"/>
      <c r="E22" s="569"/>
    </row>
    <row r="23" spans="1:5" ht="15.75">
      <c r="A23" s="2489" t="s">
        <v>1372</v>
      </c>
      <c r="B23" s="2489"/>
      <c r="C23" s="2489"/>
      <c r="D23" s="2489"/>
      <c r="E23" s="115">
        <f>SUM(E15:E22)</f>
        <v>14404.302500000002</v>
      </c>
    </row>
    <row r="24" spans="1:5" ht="15.75">
      <c r="A24" s="2492" t="s">
        <v>1375</v>
      </c>
      <c r="B24" s="2492"/>
      <c r="C24" s="2492"/>
      <c r="D24" s="2492"/>
      <c r="E24" s="117">
        <f>E7+E10+E23</f>
        <v>14404.302500000002</v>
      </c>
    </row>
    <row r="25" spans="1:5" ht="15">
      <c r="A25" s="2483" t="s">
        <v>1377</v>
      </c>
      <c r="B25" s="2483"/>
      <c r="C25" s="2483"/>
      <c r="D25" s="2483"/>
      <c r="E25" s="2483"/>
    </row>
    <row r="26" spans="1:5" ht="15">
      <c r="A26" s="119"/>
      <c r="B26" s="119"/>
      <c r="C26" s="120"/>
      <c r="D26" s="120"/>
      <c r="E26" s="120"/>
    </row>
    <row r="27" spans="1:5" ht="15">
      <c r="A27" s="118"/>
      <c r="B27" s="118"/>
      <c r="C27" s="118"/>
      <c r="D27" s="118"/>
      <c r="E27" s="118"/>
    </row>
    <row r="28" spans="1:5" ht="15">
      <c r="A28" s="118"/>
      <c r="B28" s="118"/>
      <c r="C28" s="118"/>
      <c r="D28" s="118"/>
      <c r="E28" s="118"/>
    </row>
    <row r="29" spans="1:5" ht="15">
      <c r="A29" s="2483" t="s">
        <v>1378</v>
      </c>
      <c r="B29" s="2483"/>
      <c r="C29" s="2483"/>
      <c r="D29" s="2483"/>
      <c r="E29" s="2483"/>
    </row>
  </sheetData>
  <sheetProtection/>
  <mergeCells count="9">
    <mergeCell ref="A29:E29"/>
    <mergeCell ref="A13:E13"/>
    <mergeCell ref="A23:D23"/>
    <mergeCell ref="A4:E4"/>
    <mergeCell ref="A7:D7"/>
    <mergeCell ref="A10:D10"/>
    <mergeCell ref="A12:E12"/>
    <mergeCell ref="A24:D24"/>
    <mergeCell ref="A25:E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0"/>
  <sheetViews>
    <sheetView view="pageBreakPreview" zoomScaleNormal="90" zoomScaleSheetLayoutView="100" zoomScalePageLayoutView="0" workbookViewId="0" topLeftCell="A13">
      <selection activeCell="E20" sqref="E20"/>
    </sheetView>
  </sheetViews>
  <sheetFormatPr defaultColWidth="9.140625" defaultRowHeight="12.75"/>
  <cols>
    <col min="1" max="1" width="13.7109375" style="98" bestFit="1" customWidth="1"/>
    <col min="2" max="2" width="61.8515625" style="98" bestFit="1" customWidth="1"/>
    <col min="3" max="4" width="13.57421875" style="98" bestFit="1" customWidth="1"/>
    <col min="5" max="5" width="14.140625" style="98" bestFit="1" customWidth="1"/>
    <col min="6" max="6" width="9.8515625" style="98" bestFit="1" customWidth="1"/>
    <col min="7" max="7" width="13.57421875" style="98" bestFit="1" customWidth="1"/>
    <col min="8" max="8" width="10.57421875" style="98" bestFit="1" customWidth="1"/>
    <col min="9" max="16384" width="9.140625" style="98" customWidth="1"/>
  </cols>
  <sheetData>
    <row r="1" ht="24.75" customHeight="1">
      <c r="B1" s="169" t="s">
        <v>9</v>
      </c>
    </row>
    <row r="2" spans="1:3" ht="26.25" customHeight="1">
      <c r="A2" s="2494" t="s">
        <v>1029</v>
      </c>
      <c r="B2" s="2494"/>
      <c r="C2" s="2494"/>
    </row>
    <row r="4" spans="1:5" ht="15">
      <c r="A4" s="2483" t="s">
        <v>1373</v>
      </c>
      <c r="B4" s="2483"/>
      <c r="C4" s="2483"/>
      <c r="D4" s="2483"/>
      <c r="E4" s="2483"/>
    </row>
    <row r="6" s="30" customFormat="1" ht="15.75"/>
    <row r="8" spans="1:5" ht="15.75">
      <c r="A8" s="2495" t="s">
        <v>1015</v>
      </c>
      <c r="B8" s="2489"/>
      <c r="C8" s="2489"/>
      <c r="D8" s="2489"/>
      <c r="E8" s="115">
        <f>E6</f>
        <v>0</v>
      </c>
    </row>
    <row r="9" spans="1:5" s="30" customFormat="1" ht="15.75">
      <c r="A9" s="30">
        <v>5331</v>
      </c>
      <c r="B9" s="30" t="s">
        <v>171</v>
      </c>
      <c r="E9" s="31">
        <f>E8*0.27</f>
        <v>0</v>
      </c>
    </row>
    <row r="10" spans="1:5" ht="15.75">
      <c r="A10" s="2495" t="s">
        <v>1016</v>
      </c>
      <c r="B10" s="2489"/>
      <c r="C10" s="2489"/>
      <c r="D10" s="2489"/>
      <c r="E10" s="115">
        <f>E9</f>
        <v>0</v>
      </c>
    </row>
    <row r="13" spans="1:5" ht="15">
      <c r="A13" s="2488" t="s">
        <v>172</v>
      </c>
      <c r="B13" s="2488"/>
      <c r="C13" s="2488"/>
      <c r="D13" s="2488"/>
      <c r="E13" s="2488"/>
    </row>
    <row r="14" spans="1:5" ht="15">
      <c r="A14" s="2488" t="s">
        <v>1388</v>
      </c>
      <c r="B14" s="2488"/>
      <c r="C14" s="2488"/>
      <c r="D14" s="2488"/>
      <c r="E14" s="2488"/>
    </row>
    <row r="15" spans="1:7" ht="15">
      <c r="A15" s="108"/>
      <c r="B15" s="108"/>
      <c r="C15" s="109"/>
      <c r="D15" s="109"/>
      <c r="E15" s="109"/>
      <c r="G15" s="410"/>
    </row>
    <row r="16" spans="1:5" ht="15">
      <c r="A16" s="2488" t="s">
        <v>1398</v>
      </c>
      <c r="B16" s="2488"/>
      <c r="C16" s="2488"/>
      <c r="D16" s="2488"/>
      <c r="E16" s="2488"/>
    </row>
    <row r="17" spans="3:5" ht="15">
      <c r="C17" s="105"/>
      <c r="D17" s="105"/>
      <c r="E17" s="105"/>
    </row>
    <row r="18" spans="1:5" ht="15.75">
      <c r="A18" s="112">
        <v>56112</v>
      </c>
      <c r="B18" s="326" t="s">
        <v>1080</v>
      </c>
      <c r="C18" s="113"/>
      <c r="D18" s="113"/>
      <c r="E18" s="114">
        <v>815</v>
      </c>
    </row>
    <row r="19" spans="3:5" ht="15">
      <c r="C19" s="105"/>
      <c r="D19" s="105"/>
      <c r="E19" s="105"/>
    </row>
    <row r="21" spans="1:5" ht="15.75">
      <c r="A21" s="2489" t="s">
        <v>1372</v>
      </c>
      <c r="B21" s="2489"/>
      <c r="C21" s="2489"/>
      <c r="D21" s="2489"/>
      <c r="E21" s="115">
        <f>E18</f>
        <v>815</v>
      </c>
    </row>
    <row r="22" spans="1:10" ht="15.75">
      <c r="A22" s="2492" t="s">
        <v>1375</v>
      </c>
      <c r="B22" s="2492"/>
      <c r="C22" s="2492"/>
      <c r="D22" s="2492"/>
      <c r="E22" s="117">
        <f>E8+E10+E21</f>
        <v>815</v>
      </c>
      <c r="J22" s="413"/>
    </row>
    <row r="24" spans="2:7" ht="15">
      <c r="B24" s="103" t="s">
        <v>1374</v>
      </c>
      <c r="G24" s="412"/>
    </row>
    <row r="25" ht="15">
      <c r="B25" s="103" t="s">
        <v>1081</v>
      </c>
    </row>
    <row r="26" ht="15">
      <c r="F26" s="409"/>
    </row>
    <row r="27" spans="1:9" s="30" customFormat="1" ht="15.75">
      <c r="A27" s="30">
        <v>91913</v>
      </c>
      <c r="B27" s="30" t="s">
        <v>1082</v>
      </c>
      <c r="E27" s="1003">
        <f>3018*0.27</f>
        <v>814.86</v>
      </c>
      <c r="I27" s="411"/>
    </row>
    <row r="29" spans="1:5" ht="15">
      <c r="A29" s="410" t="s">
        <v>1083</v>
      </c>
      <c r="B29" s="410"/>
      <c r="C29" s="410"/>
      <c r="D29" s="410"/>
      <c r="E29" s="1004">
        <f>E27</f>
        <v>814.86</v>
      </c>
    </row>
    <row r="30" spans="1:9" ht="15.75">
      <c r="A30" s="2493" t="s">
        <v>1084</v>
      </c>
      <c r="B30" s="2492"/>
      <c r="C30" s="2492"/>
      <c r="D30" s="2492"/>
      <c r="E30" s="117">
        <f>E29</f>
        <v>814.86</v>
      </c>
      <c r="I30" s="409"/>
    </row>
  </sheetData>
  <sheetProtection/>
  <mergeCells count="10">
    <mergeCell ref="A30:D30"/>
    <mergeCell ref="A2:C2"/>
    <mergeCell ref="A21:D21"/>
    <mergeCell ref="A22:D22"/>
    <mergeCell ref="A4:E4"/>
    <mergeCell ref="A13:E13"/>
    <mergeCell ref="A14:E14"/>
    <mergeCell ref="A16:E16"/>
    <mergeCell ref="A8:D8"/>
    <mergeCell ref="A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"/>
  <sheetViews>
    <sheetView zoomScalePageLayoutView="0" workbookViewId="0" topLeftCell="A28">
      <selection activeCell="E42" sqref="E42"/>
    </sheetView>
  </sheetViews>
  <sheetFormatPr defaultColWidth="9.140625" defaultRowHeight="12.75"/>
  <cols>
    <col min="1" max="1" width="9.57421875" style="0" bestFit="1" customWidth="1"/>
    <col min="2" max="2" width="74.8515625" style="0" customWidth="1"/>
    <col min="3" max="3" width="13.00390625" style="0" customWidth="1"/>
    <col min="4" max="4" width="9.8515625" style="7" bestFit="1" customWidth="1"/>
    <col min="5" max="5" width="10.421875" style="0" bestFit="1" customWidth="1"/>
  </cols>
  <sheetData>
    <row r="1" spans="1:5" ht="15.75">
      <c r="A1" s="98"/>
      <c r="B1" s="169" t="s">
        <v>9</v>
      </c>
      <c r="C1" s="98"/>
      <c r="D1" s="105"/>
      <c r="E1" s="98"/>
    </row>
    <row r="2" spans="1:5" ht="15.75">
      <c r="A2" s="98"/>
      <c r="B2" s="169" t="s">
        <v>1260</v>
      </c>
      <c r="C2" s="98"/>
      <c r="D2" s="105"/>
      <c r="E2" s="98"/>
    </row>
    <row r="3" spans="1:5" ht="15">
      <c r="A3" s="98"/>
      <c r="B3" s="98"/>
      <c r="C3" s="98"/>
      <c r="D3" s="105"/>
      <c r="E3" s="98"/>
    </row>
    <row r="4" spans="1:5" ht="15">
      <c r="A4" s="2483" t="s">
        <v>1373</v>
      </c>
      <c r="B4" s="2483"/>
      <c r="C4" s="2483"/>
      <c r="D4" s="2483"/>
      <c r="E4" s="2483"/>
    </row>
    <row r="5" spans="1:5" ht="15">
      <c r="A5" s="2488" t="s">
        <v>165</v>
      </c>
      <c r="B5" s="2488"/>
      <c r="C5" s="2488"/>
      <c r="D5" s="2488"/>
      <c r="E5" s="2488"/>
    </row>
    <row r="6" spans="1:5" ht="15">
      <c r="A6" s="2488" t="s">
        <v>83</v>
      </c>
      <c r="B6" s="2488"/>
      <c r="C6" s="2488"/>
      <c r="D6" s="2488"/>
      <c r="E6" s="2488"/>
    </row>
    <row r="7" spans="1:5" ht="15">
      <c r="A7" s="2497"/>
      <c r="B7" s="2497"/>
      <c r="C7" s="2497"/>
      <c r="D7" s="2497"/>
      <c r="E7" s="2497"/>
    </row>
    <row r="8" spans="1:5" ht="15">
      <c r="A8" s="104"/>
      <c r="B8" s="98"/>
      <c r="C8" s="105"/>
      <c r="D8" s="105"/>
      <c r="E8" s="105" t="s">
        <v>86</v>
      </c>
    </row>
    <row r="9" spans="1:5" ht="15">
      <c r="A9" s="104"/>
      <c r="B9" s="98"/>
      <c r="C9" s="105"/>
      <c r="D9" s="105"/>
      <c r="E9" s="105"/>
    </row>
    <row r="10" spans="1:5" ht="15">
      <c r="A10" s="106" t="s">
        <v>1317</v>
      </c>
      <c r="B10" s="106" t="s">
        <v>1432</v>
      </c>
      <c r="C10" s="107"/>
      <c r="D10" s="107"/>
      <c r="E10" s="107"/>
    </row>
    <row r="11" spans="1:5" ht="15.75">
      <c r="A11" s="106">
        <v>511112</v>
      </c>
      <c r="B11" s="106" t="s">
        <v>89</v>
      </c>
      <c r="C11" s="182">
        <f>+C12+C13</f>
        <v>2829800</v>
      </c>
      <c r="D11" s="182">
        <v>2987</v>
      </c>
      <c r="E11" s="182">
        <f>+D11</f>
        <v>2987</v>
      </c>
    </row>
    <row r="12" spans="1:5" ht="15">
      <c r="A12" s="106"/>
      <c r="B12" s="106" t="s">
        <v>1272</v>
      </c>
      <c r="C12" s="107">
        <f>Bérek2012!Q48</f>
        <v>1554000</v>
      </c>
      <c r="D12" s="107"/>
      <c r="E12" s="107"/>
    </row>
    <row r="13" spans="1:5" ht="15">
      <c r="A13" s="106"/>
      <c r="B13" s="106" t="s">
        <v>1261</v>
      </c>
      <c r="C13" s="107">
        <f>+Bérek2012!Q47</f>
        <v>1275800</v>
      </c>
      <c r="D13" s="107"/>
      <c r="E13" s="107"/>
    </row>
    <row r="14" spans="1:5" ht="15.75">
      <c r="A14" s="106">
        <v>511122</v>
      </c>
      <c r="B14" s="106" t="s">
        <v>1262</v>
      </c>
      <c r="C14" s="182">
        <f>+Bérek2012!R48</f>
        <v>2646000</v>
      </c>
      <c r="D14" s="182">
        <f>+C14/1000</f>
        <v>2646</v>
      </c>
      <c r="E14" s="37">
        <v>2426</v>
      </c>
    </row>
    <row r="15" spans="1:5" ht="15">
      <c r="A15" s="106"/>
      <c r="B15" s="106" t="s">
        <v>1263</v>
      </c>
      <c r="C15" s="107"/>
      <c r="D15" s="107"/>
      <c r="E15" s="106"/>
    </row>
    <row r="16" spans="1:5" ht="15.75">
      <c r="A16" s="503">
        <v>511</v>
      </c>
      <c r="B16" s="587" t="s">
        <v>167</v>
      </c>
      <c r="C16" s="182"/>
      <c r="D16" s="182"/>
      <c r="E16" s="182">
        <f>+E14+E11</f>
        <v>5413</v>
      </c>
    </row>
    <row r="17" spans="1:5" ht="15">
      <c r="A17" s="503">
        <v>512</v>
      </c>
      <c r="B17" s="588" t="s">
        <v>637</v>
      </c>
      <c r="C17" s="588"/>
      <c r="D17" s="589"/>
      <c r="E17" s="588"/>
    </row>
    <row r="18" spans="1:5" ht="15">
      <c r="A18" s="106">
        <v>51317</v>
      </c>
      <c r="B18" s="547" t="s">
        <v>636</v>
      </c>
      <c r="C18" s="107">
        <v>0</v>
      </c>
      <c r="D18" s="498"/>
      <c r="E18" s="107">
        <f>+C18</f>
        <v>0</v>
      </c>
    </row>
    <row r="19" spans="1:5" ht="15">
      <c r="A19" s="503">
        <v>513</v>
      </c>
      <c r="B19" s="588" t="s">
        <v>1171</v>
      </c>
      <c r="C19" s="588"/>
      <c r="D19" s="589"/>
      <c r="E19" s="589">
        <f>+C18</f>
        <v>0</v>
      </c>
    </row>
    <row r="20" spans="1:5" ht="15">
      <c r="A20" s="503"/>
      <c r="B20" s="504" t="s">
        <v>1264</v>
      </c>
      <c r="C20" s="504">
        <f>50000*12</f>
        <v>600000</v>
      </c>
      <c r="D20" s="589"/>
      <c r="E20" s="589">
        <f>ROUND(C20,-3)/1000</f>
        <v>600</v>
      </c>
    </row>
    <row r="21" spans="1:5" ht="15">
      <c r="A21" s="503"/>
      <c r="B21" s="504" t="s">
        <v>1265</v>
      </c>
      <c r="C21" s="588"/>
      <c r="D21" s="589"/>
      <c r="E21" s="589"/>
    </row>
    <row r="22" spans="1:5" ht="15">
      <c r="A22" s="503">
        <v>514</v>
      </c>
      <c r="B22" s="588" t="s">
        <v>638</v>
      </c>
      <c r="C22" s="588"/>
      <c r="D22" s="589"/>
      <c r="E22" s="551">
        <f>E20</f>
        <v>600</v>
      </c>
    </row>
    <row r="23" spans="1:5" ht="15.75">
      <c r="A23" s="171">
        <v>522</v>
      </c>
      <c r="B23" s="510" t="s">
        <v>12</v>
      </c>
      <c r="C23" s="510"/>
      <c r="D23" s="628">
        <f>+(+C24+C25+C26)/1000</f>
        <v>0</v>
      </c>
      <c r="E23" s="628">
        <f>+D23</f>
        <v>0</v>
      </c>
    </row>
    <row r="24" spans="1:5" ht="15.75">
      <c r="A24" s="171"/>
      <c r="B24" s="504" t="s">
        <v>448</v>
      </c>
      <c r="C24" s="504">
        <v>0</v>
      </c>
      <c r="D24" s="628"/>
      <c r="E24" s="628"/>
    </row>
    <row r="25" spans="1:5" ht="15">
      <c r="A25" s="497"/>
      <c r="B25" s="504" t="s">
        <v>14</v>
      </c>
      <c r="C25" s="504">
        <v>0</v>
      </c>
      <c r="D25" s="300"/>
      <c r="E25" s="300"/>
    </row>
    <row r="26" spans="1:5" ht="15">
      <c r="A26" s="497"/>
      <c r="B26" s="504" t="s">
        <v>15</v>
      </c>
      <c r="C26" s="504">
        <v>0</v>
      </c>
      <c r="D26" s="300"/>
      <c r="E26" s="300"/>
    </row>
    <row r="27" spans="1:5" ht="16.5" thickBot="1">
      <c r="A27" s="2498" t="s">
        <v>169</v>
      </c>
      <c r="B27" s="2499"/>
      <c r="C27" s="2499"/>
      <c r="D27" s="2499"/>
      <c r="E27" s="627">
        <f>+E22+E19+E16+E23</f>
        <v>6013</v>
      </c>
    </row>
    <row r="28" spans="1:5" ht="15">
      <c r="A28" s="108"/>
      <c r="B28" s="108"/>
      <c r="C28" s="109"/>
      <c r="D28" s="109"/>
      <c r="E28" s="109"/>
    </row>
    <row r="29" spans="1:5" ht="15">
      <c r="A29" s="108"/>
      <c r="B29" s="108"/>
      <c r="C29" s="109"/>
      <c r="D29" s="109"/>
      <c r="E29" s="109"/>
    </row>
    <row r="30" spans="1:5" ht="15">
      <c r="A30" s="2500" t="s">
        <v>170</v>
      </c>
      <c r="B30" s="2501"/>
      <c r="C30" s="2501"/>
      <c r="D30" s="2501"/>
      <c r="E30" s="2501"/>
    </row>
    <row r="31" spans="1:5" ht="15">
      <c r="A31" s="108"/>
      <c r="B31" s="108"/>
      <c r="C31" s="109"/>
      <c r="D31" s="109"/>
      <c r="E31" s="109"/>
    </row>
    <row r="32" spans="1:5" ht="15">
      <c r="A32" s="108"/>
      <c r="B32" s="108"/>
      <c r="C32" s="109"/>
      <c r="D32" s="109"/>
      <c r="E32" s="109"/>
    </row>
    <row r="33" spans="1:5" ht="16.5" thickBot="1">
      <c r="A33" s="506">
        <v>53112</v>
      </c>
      <c r="B33" s="506" t="s">
        <v>1068</v>
      </c>
      <c r="C33" s="507"/>
      <c r="D33" s="508"/>
      <c r="E33" s="507">
        <f>+(E16+E19+E23)*0.27</f>
        <v>1461.51</v>
      </c>
    </row>
    <row r="34" spans="1:5" ht="16.5" thickBot="1">
      <c r="A34" s="2502" t="s">
        <v>1386</v>
      </c>
      <c r="B34" s="2503"/>
      <c r="C34" s="2503"/>
      <c r="D34" s="2503"/>
      <c r="E34" s="509">
        <f>E33</f>
        <v>1461.51</v>
      </c>
    </row>
    <row r="35" spans="1:5" ht="15">
      <c r="A35" s="108"/>
      <c r="B35" s="108"/>
      <c r="C35" s="109"/>
      <c r="D35" s="109"/>
      <c r="E35" s="109"/>
    </row>
    <row r="36" spans="1:5" ht="15">
      <c r="A36" s="108"/>
      <c r="B36" s="108"/>
      <c r="C36" s="109"/>
      <c r="D36" s="109"/>
      <c r="E36" s="109"/>
    </row>
    <row r="37" spans="1:5" ht="15">
      <c r="A37" s="2488" t="s">
        <v>172</v>
      </c>
      <c r="B37" s="2488"/>
      <c r="C37" s="2488"/>
      <c r="D37" s="2488"/>
      <c r="E37" s="2488"/>
    </row>
    <row r="38" spans="1:5" ht="15">
      <c r="A38" s="549">
        <v>5481</v>
      </c>
      <c r="B38" s="662" t="s">
        <v>1273</v>
      </c>
      <c r="C38" s="1007"/>
      <c r="D38" s="1008"/>
      <c r="E38" s="1009">
        <v>16</v>
      </c>
    </row>
    <row r="39" spans="1:5" ht="15">
      <c r="A39" s="549"/>
      <c r="B39" s="662"/>
      <c r="C39" s="1007"/>
      <c r="D39" s="1008"/>
      <c r="E39" s="1009"/>
    </row>
    <row r="40" spans="1:5" ht="15">
      <c r="A40" s="549">
        <v>55329</v>
      </c>
      <c r="B40" s="662" t="s">
        <v>657</v>
      </c>
      <c r="C40" s="1007">
        <f>56*11</f>
        <v>616</v>
      </c>
      <c r="D40" s="1008"/>
      <c r="E40" s="1009">
        <v>616</v>
      </c>
    </row>
    <row r="41" spans="1:5" ht="15">
      <c r="A41" s="106">
        <v>56111</v>
      </c>
      <c r="B41" s="106" t="s">
        <v>13</v>
      </c>
      <c r="C41" s="547"/>
      <c r="D41" s="290"/>
      <c r="E41" s="657">
        <f>+(E38+E40)*0.27</f>
        <v>170.64000000000001</v>
      </c>
    </row>
    <row r="42" spans="1:5" ht="15">
      <c r="A42" s="106">
        <v>57213</v>
      </c>
      <c r="B42" s="504" t="s">
        <v>1181</v>
      </c>
      <c r="C42" s="290"/>
      <c r="D42" s="290"/>
      <c r="E42" s="657">
        <f>'rehabilitációs hj '!E19</f>
        <v>96</v>
      </c>
    </row>
    <row r="43" spans="1:5" ht="15">
      <c r="A43" s="106"/>
      <c r="B43" s="106"/>
      <c r="C43" s="106"/>
      <c r="D43" s="107"/>
      <c r="E43" s="549"/>
    </row>
    <row r="44" spans="1:5" ht="15.75">
      <c r="A44" s="2491" t="s">
        <v>1372</v>
      </c>
      <c r="B44" s="2491"/>
      <c r="C44" s="2491"/>
      <c r="D44" s="2491"/>
      <c r="E44" s="511">
        <f>SUM(E38:E43)</f>
        <v>898.64</v>
      </c>
    </row>
    <row r="45" spans="1:5" ht="15.75">
      <c r="A45" s="2496" t="s">
        <v>1375</v>
      </c>
      <c r="B45" s="2496"/>
      <c r="C45" s="2496"/>
      <c r="D45" s="2496"/>
      <c r="E45" s="512">
        <f>+E27+E34+E44</f>
        <v>8373.15</v>
      </c>
    </row>
    <row r="49" ht="12.75">
      <c r="B49" s="12"/>
    </row>
  </sheetData>
  <sheetProtection/>
  <mergeCells count="10">
    <mergeCell ref="A45:D45"/>
    <mergeCell ref="A4:E4"/>
    <mergeCell ref="A5:E5"/>
    <mergeCell ref="A6:E6"/>
    <mergeCell ref="A7:E7"/>
    <mergeCell ref="A27:D27"/>
    <mergeCell ref="A30:E30"/>
    <mergeCell ref="A34:D34"/>
    <mergeCell ref="A37:E37"/>
    <mergeCell ref="A44:D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43"/>
  <sheetViews>
    <sheetView view="pageBreakPreview" zoomScaleNormal="90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9.421875" style="98" customWidth="1"/>
    <col min="2" max="2" width="76.28125" style="98" bestFit="1" customWidth="1"/>
    <col min="3" max="3" width="15.7109375" style="98" customWidth="1"/>
    <col min="4" max="4" width="13.57421875" style="98" bestFit="1" customWidth="1"/>
    <col min="5" max="5" width="14.140625" style="98" bestFit="1" customWidth="1"/>
    <col min="6" max="6" width="9.8515625" style="98" bestFit="1" customWidth="1"/>
    <col min="7" max="7" width="13.57421875" style="98" bestFit="1" customWidth="1"/>
    <col min="8" max="8" width="10.421875" style="98" bestFit="1" customWidth="1"/>
    <col min="9" max="16384" width="9.140625" style="98" customWidth="1"/>
  </cols>
  <sheetData>
    <row r="1" ht="24.75" customHeight="1">
      <c r="B1" s="169" t="s">
        <v>9</v>
      </c>
    </row>
    <row r="2" ht="24.75" customHeight="1">
      <c r="B2" s="169" t="s">
        <v>1028</v>
      </c>
    </row>
    <row r="3" ht="24" customHeight="1"/>
    <row r="4" spans="1:5" ht="15">
      <c r="A4" s="2483" t="s">
        <v>1373</v>
      </c>
      <c r="B4" s="2483"/>
      <c r="C4" s="2483"/>
      <c r="D4" s="2483"/>
      <c r="E4" s="2483"/>
    </row>
    <row r="5" spans="1:5" ht="15">
      <c r="A5" s="2488" t="s">
        <v>165</v>
      </c>
      <c r="B5" s="2488"/>
      <c r="C5" s="2488"/>
      <c r="D5" s="2488"/>
      <c r="E5" s="2488"/>
    </row>
    <row r="6" spans="1:5" ht="15">
      <c r="A6" s="2488" t="s">
        <v>83</v>
      </c>
      <c r="B6" s="2488"/>
      <c r="C6" s="2488"/>
      <c r="D6" s="2488"/>
      <c r="E6" s="2488"/>
    </row>
    <row r="7" spans="1:5" ht="15">
      <c r="A7" s="2497"/>
      <c r="B7" s="2497"/>
      <c r="C7" s="2497"/>
      <c r="D7" s="2497"/>
      <c r="E7" s="2497"/>
    </row>
    <row r="8" spans="1:5" ht="15">
      <c r="A8" s="104"/>
      <c r="C8" s="105"/>
      <c r="D8" s="105"/>
      <c r="E8" s="105" t="s">
        <v>86</v>
      </c>
    </row>
    <row r="9" spans="1:5" ht="15">
      <c r="A9" s="104"/>
      <c r="C9" s="105"/>
      <c r="D9" s="105"/>
      <c r="E9" s="105"/>
    </row>
    <row r="10" spans="1:5" ht="15">
      <c r="A10" s="106" t="s">
        <v>1317</v>
      </c>
      <c r="B10" s="106" t="s">
        <v>1432</v>
      </c>
      <c r="C10" s="107"/>
      <c r="D10" s="107"/>
      <c r="E10" s="107"/>
    </row>
    <row r="11" spans="1:5" ht="15">
      <c r="A11" s="106">
        <v>511111</v>
      </c>
      <c r="B11" s="106" t="s">
        <v>87</v>
      </c>
      <c r="C11" s="107">
        <f>Bérek2012!Q6+Bérek2012!Q24+Bérek2012!Q28</f>
        <v>7048800</v>
      </c>
      <c r="D11" s="107"/>
      <c r="E11" s="107">
        <f>ROUND(C11,-3)/1000</f>
        <v>7049</v>
      </c>
    </row>
    <row r="12" spans="1:5" ht="15">
      <c r="A12" s="106">
        <v>511121</v>
      </c>
      <c r="B12" s="106" t="s">
        <v>634</v>
      </c>
      <c r="C12" s="107">
        <v>0</v>
      </c>
      <c r="D12" s="106"/>
      <c r="E12" s="107">
        <f>ROUND(C12,-3)/1000</f>
        <v>0</v>
      </c>
    </row>
    <row r="13" spans="1:5" ht="15">
      <c r="A13" s="106">
        <v>511131</v>
      </c>
      <c r="B13" s="106" t="s">
        <v>90</v>
      </c>
      <c r="C13" s="107">
        <f>Bérek2012!S5+Bérek2012!S23+Bérek2012!S27</f>
        <v>278280</v>
      </c>
      <c r="D13" s="498"/>
      <c r="E13" s="107">
        <f>ROUND(C13,-3)/1000</f>
        <v>278</v>
      </c>
    </row>
    <row r="14" spans="1:5" ht="15.75">
      <c r="A14" s="503">
        <v>511</v>
      </c>
      <c r="B14" s="587" t="s">
        <v>167</v>
      </c>
      <c r="C14" s="182"/>
      <c r="D14" s="182"/>
      <c r="E14" s="182">
        <f>SUM(E11:E13)</f>
        <v>7327</v>
      </c>
    </row>
    <row r="15" spans="1:5" ht="15">
      <c r="A15" s="503">
        <v>512</v>
      </c>
      <c r="B15" s="588" t="s">
        <v>637</v>
      </c>
      <c r="C15" s="588"/>
      <c r="D15" s="588"/>
      <c r="E15" s="588"/>
    </row>
    <row r="16" spans="1:5" ht="15">
      <c r="A16" s="106">
        <v>513131</v>
      </c>
      <c r="B16" s="106" t="s">
        <v>92</v>
      </c>
      <c r="C16" s="290">
        <v>10000</v>
      </c>
      <c r="D16" s="107"/>
      <c r="E16" s="290">
        <f>ROUND(C16,-3)/1000</f>
        <v>10</v>
      </c>
    </row>
    <row r="17" spans="1:5" ht="15">
      <c r="A17" s="106">
        <v>51317</v>
      </c>
      <c r="B17" s="547" t="s">
        <v>636</v>
      </c>
      <c r="C17" s="107"/>
      <c r="D17" s="498"/>
      <c r="E17" s="290">
        <f>ROUND(C17,-3)/1000</f>
        <v>0</v>
      </c>
    </row>
    <row r="18" spans="1:5" ht="15">
      <c r="A18" s="503">
        <v>513</v>
      </c>
      <c r="B18" s="588" t="s">
        <v>1171</v>
      </c>
      <c r="C18" s="588"/>
      <c r="D18" s="588"/>
      <c r="E18" s="589">
        <f>+E17+E16</f>
        <v>10</v>
      </c>
    </row>
    <row r="19" spans="1:5" ht="15">
      <c r="A19" s="106">
        <v>514141</v>
      </c>
      <c r="B19" s="106" t="s">
        <v>97</v>
      </c>
      <c r="C19" s="107">
        <f>Bérek2012!Z6+Bérek2012!Z24+Bérek2012!Z28</f>
        <v>450000</v>
      </c>
      <c r="D19" s="107"/>
      <c r="E19" s="107">
        <f>ROUND(C19,-3)/1000</f>
        <v>450</v>
      </c>
    </row>
    <row r="20" spans="1:5" ht="15.75">
      <c r="A20" s="503">
        <v>514</v>
      </c>
      <c r="B20" s="588" t="s">
        <v>638</v>
      </c>
      <c r="C20" s="588"/>
      <c r="D20" s="588"/>
      <c r="E20" s="182">
        <f>SUM(E19)</f>
        <v>450</v>
      </c>
    </row>
    <row r="21" spans="1:5" ht="15">
      <c r="A21" s="497">
        <v>516112</v>
      </c>
      <c r="B21" s="550" t="s">
        <v>640</v>
      </c>
      <c r="C21" s="107">
        <f>+Bérek2012!Q54+Bérek2012!Q55+Bérek2012!Q56</f>
        <v>2194800</v>
      </c>
      <c r="D21" s="106"/>
      <c r="E21" s="107">
        <f>ROUND(C21,-3)/1000</f>
        <v>2195</v>
      </c>
    </row>
    <row r="22" spans="1:5" ht="15">
      <c r="A22" s="497">
        <v>516212</v>
      </c>
      <c r="B22" s="550" t="s">
        <v>639</v>
      </c>
      <c r="C22" s="107">
        <f>+Bérek2012!R54+Bérek2012!R55+Bérek2012!R56</f>
        <v>180000</v>
      </c>
      <c r="D22" s="106"/>
      <c r="E22" s="107">
        <f>ROUND(C22,-3)/1000</f>
        <v>180</v>
      </c>
    </row>
    <row r="23" spans="1:5" ht="15">
      <c r="A23" s="499"/>
      <c r="B23" s="106" t="s">
        <v>635</v>
      </c>
      <c r="C23" s="106"/>
      <c r="D23" s="106"/>
      <c r="E23" s="106"/>
    </row>
    <row r="24" spans="1:5" ht="16.5" thickBot="1">
      <c r="A24" s="590">
        <v>516</v>
      </c>
      <c r="B24" s="591" t="s">
        <v>143</v>
      </c>
      <c r="C24" s="507"/>
      <c r="D24" s="507"/>
      <c r="E24" s="507">
        <f>+E21+E22</f>
        <v>2375</v>
      </c>
    </row>
    <row r="25" spans="1:5" ht="16.5" thickBot="1">
      <c r="A25" s="2504" t="s">
        <v>169</v>
      </c>
      <c r="B25" s="2505"/>
      <c r="C25" s="2505"/>
      <c r="D25" s="2505"/>
      <c r="E25" s="502">
        <f>+E14+E15+E18+E20+E24</f>
        <v>10162</v>
      </c>
    </row>
    <row r="26" spans="1:5" ht="15">
      <c r="A26" s="108"/>
      <c r="B26" s="108"/>
      <c r="C26" s="109"/>
      <c r="D26" s="109"/>
      <c r="E26" s="109"/>
    </row>
    <row r="27" spans="1:5" ht="15">
      <c r="A27" s="108"/>
      <c r="B27" s="108"/>
      <c r="C27" s="109"/>
      <c r="D27" s="109"/>
      <c r="E27" s="109"/>
    </row>
    <row r="28" spans="1:5" ht="15">
      <c r="A28" s="2500" t="s">
        <v>170</v>
      </c>
      <c r="B28" s="2501"/>
      <c r="C28" s="2501"/>
      <c r="D28" s="2501"/>
      <c r="E28" s="2501"/>
    </row>
    <row r="29" spans="1:5" ht="15">
      <c r="A29" s="108"/>
      <c r="B29" s="108"/>
      <c r="C29" s="109"/>
      <c r="D29" s="109"/>
      <c r="E29" s="109"/>
    </row>
    <row r="30" spans="1:5" ht="15">
      <c r="A30" s="108"/>
      <c r="B30" s="108"/>
      <c r="C30" s="109"/>
      <c r="D30" s="109"/>
      <c r="E30" s="109"/>
    </row>
    <row r="31" spans="1:5" ht="16.5" thickBot="1">
      <c r="A31" s="506">
        <v>53112</v>
      </c>
      <c r="B31" s="506" t="s">
        <v>1068</v>
      </c>
      <c r="C31" s="507"/>
      <c r="D31" s="508"/>
      <c r="E31" s="507">
        <f>+(E14+E15+E18+E24)*0.27</f>
        <v>2622.2400000000002</v>
      </c>
    </row>
    <row r="32" spans="1:5" ht="16.5" thickBot="1">
      <c r="A32" s="2502" t="s">
        <v>1386</v>
      </c>
      <c r="B32" s="2503"/>
      <c r="C32" s="2503"/>
      <c r="D32" s="2503"/>
      <c r="E32" s="509">
        <f>E31</f>
        <v>2622.2400000000002</v>
      </c>
    </row>
    <row r="33" spans="1:5" ht="15">
      <c r="A33" s="108"/>
      <c r="B33" s="108"/>
      <c r="C33" s="109"/>
      <c r="D33" s="109"/>
      <c r="E33" s="109"/>
    </row>
    <row r="34" spans="1:5" ht="15">
      <c r="A34" s="108"/>
      <c r="B34" s="108"/>
      <c r="C34" s="109"/>
      <c r="D34" s="109"/>
      <c r="E34" s="109"/>
    </row>
    <row r="35" spans="1:5" ht="15">
      <c r="A35" s="2488" t="s">
        <v>172</v>
      </c>
      <c r="B35" s="2488"/>
      <c r="C35" s="2488"/>
      <c r="D35" s="2488"/>
      <c r="E35" s="2488"/>
    </row>
    <row r="36" spans="1:5" ht="15.75">
      <c r="A36" s="99">
        <v>56211</v>
      </c>
      <c r="B36" s="99" t="s">
        <v>1400</v>
      </c>
      <c r="C36" s="99"/>
      <c r="D36" s="100"/>
      <c r="E36" s="289">
        <v>97</v>
      </c>
    </row>
    <row r="37" spans="1:5" ht="15.75">
      <c r="A37" s="99"/>
      <c r="B37" s="37"/>
      <c r="C37" s="99"/>
      <c r="D37" s="100"/>
      <c r="E37" s="100"/>
    </row>
    <row r="38" spans="1:5" ht="15.75">
      <c r="A38" s="99">
        <v>57211</v>
      </c>
      <c r="B38" s="37" t="s">
        <v>1069</v>
      </c>
      <c r="C38" s="99"/>
      <c r="D38" s="100"/>
      <c r="E38" s="100">
        <f>+E19*1.19*0.26</f>
        <v>139.23000000000002</v>
      </c>
    </row>
    <row r="39" spans="1:5" ht="15">
      <c r="A39" s="106"/>
      <c r="B39" s="292"/>
      <c r="C39" s="107"/>
      <c r="D39" s="107"/>
      <c r="E39" s="107"/>
    </row>
    <row r="40" spans="1:5" ht="15.75">
      <c r="A40" s="99">
        <v>57213</v>
      </c>
      <c r="B40" s="510" t="s">
        <v>1181</v>
      </c>
      <c r="C40" s="100"/>
      <c r="D40" s="100">
        <f>'rehabilitációs hj '!D16</f>
        <v>289350.00000000006</v>
      </c>
      <c r="E40" s="105">
        <f>ROUND(D40,-3)/1000</f>
        <v>289</v>
      </c>
    </row>
    <row r="41" spans="1:5" ht="15">
      <c r="A41" s="106"/>
      <c r="B41" s="106"/>
      <c r="C41" s="106"/>
      <c r="D41" s="106"/>
      <c r="E41" s="106"/>
    </row>
    <row r="42" spans="1:5" ht="15.75">
      <c r="A42" s="2491" t="s">
        <v>1372</v>
      </c>
      <c r="B42" s="2491"/>
      <c r="C42" s="2491"/>
      <c r="D42" s="2491"/>
      <c r="E42" s="511">
        <f>+E36+E38+E40</f>
        <v>525.23</v>
      </c>
    </row>
    <row r="43" spans="1:5" ht="15.75">
      <c r="A43" s="2496" t="s">
        <v>1375</v>
      </c>
      <c r="B43" s="2496"/>
      <c r="C43" s="2496"/>
      <c r="D43" s="2496"/>
      <c r="E43" s="512">
        <f>+E25+E32+E42</f>
        <v>13309.47</v>
      </c>
    </row>
  </sheetData>
  <sheetProtection/>
  <mergeCells count="10">
    <mergeCell ref="A43:D43"/>
    <mergeCell ref="A32:D32"/>
    <mergeCell ref="A35:E35"/>
    <mergeCell ref="A42:D42"/>
    <mergeCell ref="A28:E28"/>
    <mergeCell ref="A7:E7"/>
    <mergeCell ref="A4:E4"/>
    <mergeCell ref="A5:E5"/>
    <mergeCell ref="A6:E6"/>
    <mergeCell ref="A25:D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C00000"/>
  </sheetPr>
  <dimension ref="A1:H45"/>
  <sheetViews>
    <sheetView view="pageBreakPreview" zoomScaleNormal="90" zoomScaleSheetLayoutView="100" zoomScalePageLayoutView="0" workbookViewId="0" topLeftCell="A16">
      <selection activeCell="E38" sqref="E38"/>
    </sheetView>
  </sheetViews>
  <sheetFormatPr defaultColWidth="9.140625" defaultRowHeight="12.75"/>
  <cols>
    <col min="1" max="1" width="13.57421875" style="0" bestFit="1" customWidth="1"/>
    <col min="2" max="2" width="53.7109375" style="0" customWidth="1"/>
    <col min="3" max="3" width="16.00390625" style="0" customWidth="1"/>
    <col min="4" max="4" width="14.8515625" style="0" customWidth="1"/>
    <col min="5" max="5" width="14.140625" style="0" bestFit="1" customWidth="1"/>
    <col min="6" max="6" width="9.8515625" style="0" bestFit="1" customWidth="1"/>
    <col min="7" max="7" width="12.28125" style="0" bestFit="1" customWidth="1"/>
    <col min="8" max="8" width="9.28125" style="0" bestFit="1" customWidth="1"/>
  </cols>
  <sheetData>
    <row r="1" ht="18">
      <c r="B1" s="101" t="s">
        <v>9</v>
      </c>
    </row>
    <row r="2" ht="18">
      <c r="B2" s="393" t="s">
        <v>1034</v>
      </c>
    </row>
    <row r="4" spans="1:5" ht="15">
      <c r="A4" s="2513" t="s">
        <v>1373</v>
      </c>
      <c r="B4" s="2513"/>
      <c r="C4" s="2513"/>
      <c r="D4" s="2513"/>
      <c r="E4" s="2513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2469" t="s">
        <v>83</v>
      </c>
      <c r="B6" s="2469"/>
      <c r="C6" s="2469"/>
      <c r="D6" s="2469"/>
      <c r="E6" s="2469"/>
    </row>
    <row r="7" spans="1:5" ht="12.75">
      <c r="A7" s="2469"/>
      <c r="B7" s="2469"/>
      <c r="C7" s="2469"/>
      <c r="D7" s="2469"/>
      <c r="E7" s="2469"/>
    </row>
    <row r="8" spans="1:5" ht="12.75">
      <c r="A8" s="42"/>
      <c r="C8" s="7"/>
      <c r="D8" s="7" t="s">
        <v>85</v>
      </c>
      <c r="E8" s="7" t="s">
        <v>86</v>
      </c>
    </row>
    <row r="9" spans="1:5" ht="12.75">
      <c r="A9" s="42"/>
      <c r="C9" s="7"/>
      <c r="D9" s="7"/>
      <c r="E9" s="7"/>
    </row>
    <row r="10" spans="1:5" ht="12.75">
      <c r="A10" s="24" t="s">
        <v>163</v>
      </c>
      <c r="B10" s="24" t="s">
        <v>1432</v>
      </c>
      <c r="C10" s="33"/>
      <c r="D10" s="33"/>
      <c r="E10" s="33"/>
    </row>
    <row r="11" spans="1:5" ht="12.75">
      <c r="A11" s="13">
        <v>511111</v>
      </c>
      <c r="B11" s="13" t="s">
        <v>87</v>
      </c>
      <c r="C11" s="14">
        <f>Bérek2012!Q2+Bérek2012!Q30</f>
        <v>3307600</v>
      </c>
      <c r="D11" s="14"/>
      <c r="E11" s="14">
        <f>+ROUND(C11,-3)/1000</f>
        <v>3308</v>
      </c>
    </row>
    <row r="12" spans="1:5" ht="12.75">
      <c r="A12" s="13">
        <v>511121</v>
      </c>
      <c r="B12" s="13" t="s">
        <v>88</v>
      </c>
      <c r="C12" s="14">
        <f>Bérek2012!R2+Bérek2012!R30</f>
        <v>443388</v>
      </c>
      <c r="D12" s="14"/>
      <c r="E12" s="14">
        <f>+ROUND(C12,-3)/1000</f>
        <v>443</v>
      </c>
    </row>
    <row r="13" spans="1:5" ht="12.75">
      <c r="A13" s="13">
        <v>511131</v>
      </c>
      <c r="B13" s="13" t="s">
        <v>90</v>
      </c>
      <c r="C13" s="14">
        <f>Bérek2012!S2+Bérek2012!S30</f>
        <v>139140</v>
      </c>
      <c r="D13" s="14"/>
      <c r="E13" s="14">
        <f>+ROUND(C13,-3)/1000</f>
        <v>139</v>
      </c>
    </row>
    <row r="14" spans="1:5" s="9" customFormat="1" ht="13.5" customHeight="1">
      <c r="A14" s="13">
        <v>51114212</v>
      </c>
      <c r="B14" s="43" t="s">
        <v>134</v>
      </c>
      <c r="C14" s="14">
        <v>0</v>
      </c>
      <c r="D14" s="389"/>
      <c r="E14" s="14">
        <f>+ROUND(C14,-3)/1000</f>
        <v>0</v>
      </c>
    </row>
    <row r="15" spans="1:5" ht="12.75">
      <c r="A15" s="642">
        <v>511</v>
      </c>
      <c r="B15" s="643" t="s">
        <v>1087</v>
      </c>
      <c r="C15" s="35">
        <f>SUM(C11:C14)</f>
        <v>3890128</v>
      </c>
      <c r="D15" s="35"/>
      <c r="E15" s="513">
        <f>SUM(E11:E14)</f>
        <v>3890</v>
      </c>
    </row>
    <row r="16" spans="1:5" s="9" customFormat="1" ht="14.25" customHeight="1">
      <c r="A16" s="642">
        <v>512</v>
      </c>
      <c r="B16" s="643" t="s">
        <v>641</v>
      </c>
      <c r="C16" s="513"/>
      <c r="D16" s="513"/>
      <c r="E16" s="513">
        <v>0</v>
      </c>
    </row>
    <row r="17" spans="1:5" s="9" customFormat="1" ht="14.25" customHeight="1">
      <c r="A17" s="532">
        <v>51311</v>
      </c>
      <c r="B17" s="13" t="s">
        <v>1405</v>
      </c>
      <c r="C17" s="14">
        <v>0</v>
      </c>
      <c r="D17" s="14"/>
      <c r="E17" s="14">
        <f>+ROUND(C17,-3)/1000</f>
        <v>0</v>
      </c>
    </row>
    <row r="18" spans="1:5" s="9" customFormat="1" ht="14.25" customHeight="1">
      <c r="A18" s="532">
        <v>51312</v>
      </c>
      <c r="B18" s="13" t="s">
        <v>442</v>
      </c>
      <c r="C18" s="14">
        <v>0</v>
      </c>
      <c r="D18" s="14"/>
      <c r="E18" s="14">
        <f>+ROUND(C18,-3)/1000</f>
        <v>0</v>
      </c>
    </row>
    <row r="19" spans="1:5" ht="12.75">
      <c r="A19" s="13">
        <v>513131</v>
      </c>
      <c r="B19" s="13" t="s">
        <v>92</v>
      </c>
      <c r="C19" s="14">
        <v>0</v>
      </c>
      <c r="D19" s="14"/>
      <c r="E19" s="17">
        <v>0</v>
      </c>
    </row>
    <row r="20" spans="1:5" ht="12.75">
      <c r="A20" s="13">
        <v>513191</v>
      </c>
      <c r="B20" s="13" t="s">
        <v>94</v>
      </c>
      <c r="C20" s="14">
        <f>38650*2</f>
        <v>77300</v>
      </c>
      <c r="D20" s="14"/>
      <c r="E20" s="14">
        <f>ROUND(C20,-3)/1000</f>
        <v>77</v>
      </c>
    </row>
    <row r="21" spans="1:5" ht="12.75">
      <c r="A21" s="51"/>
      <c r="B21" s="516" t="s">
        <v>93</v>
      </c>
      <c r="C21" s="44">
        <f>100000*2</f>
        <v>200000</v>
      </c>
      <c r="D21" s="44"/>
      <c r="E21" s="14">
        <f>ROUND(C21,-3)/1000</f>
        <v>200</v>
      </c>
    </row>
    <row r="22" spans="1:5" ht="12.75">
      <c r="A22" s="642">
        <v>513</v>
      </c>
      <c r="B22" s="643" t="s">
        <v>1171</v>
      </c>
      <c r="C22" s="513"/>
      <c r="D22" s="513"/>
      <c r="E22" s="513">
        <f>SUM(E17:E20)</f>
        <v>77</v>
      </c>
    </row>
    <row r="23" spans="1:5" ht="12.75">
      <c r="A23" s="13">
        <v>514131</v>
      </c>
      <c r="B23" s="13" t="s">
        <v>96</v>
      </c>
      <c r="C23" s="14">
        <f>56*9*20*12</f>
        <v>120960</v>
      </c>
      <c r="D23" s="14"/>
      <c r="E23" s="17">
        <f>+ROUND(C23,-3)/1000</f>
        <v>121</v>
      </c>
    </row>
    <row r="24" spans="1:5" ht="12.75">
      <c r="A24" s="13">
        <v>514141</v>
      </c>
      <c r="B24" s="13" t="s">
        <v>97</v>
      </c>
      <c r="C24" s="14">
        <f>Bérek2012!Z2+Bérek2012!Z30</f>
        <v>300000</v>
      </c>
      <c r="D24" s="14"/>
      <c r="E24" s="17">
        <f>+ROUND(C24,-3)/1000</f>
        <v>300</v>
      </c>
    </row>
    <row r="25" spans="1:5" ht="13.5" thickBot="1">
      <c r="A25" s="644">
        <v>514</v>
      </c>
      <c r="B25" s="645" t="s">
        <v>638</v>
      </c>
      <c r="C25" s="646"/>
      <c r="D25" s="646"/>
      <c r="E25" s="646">
        <f>SUM(E23:E24)</f>
        <v>421</v>
      </c>
    </row>
    <row r="26" spans="1:5" ht="16.5" thickBot="1">
      <c r="A26" s="2502" t="s">
        <v>169</v>
      </c>
      <c r="B26" s="2503"/>
      <c r="C26" s="2503"/>
      <c r="D26" s="2503"/>
      <c r="E26" s="509">
        <f>+E15+E16+E22+E25</f>
        <v>4388</v>
      </c>
    </row>
    <row r="27" spans="1:5" ht="12.75">
      <c r="A27" s="66"/>
      <c r="B27" s="66"/>
      <c r="C27" s="67"/>
      <c r="D27" s="67"/>
      <c r="E27" s="67"/>
    </row>
    <row r="28" spans="1:5" ht="12.75">
      <c r="A28" s="66"/>
      <c r="B28" s="66"/>
      <c r="C28" s="67"/>
      <c r="D28" s="67"/>
      <c r="E28" s="67"/>
    </row>
    <row r="29" spans="1:5" ht="12.75">
      <c r="A29" s="2420" t="s">
        <v>170</v>
      </c>
      <c r="B29" s="2509"/>
      <c r="C29" s="2509"/>
      <c r="D29" s="2509"/>
      <c r="E29" s="2509"/>
    </row>
    <row r="30" spans="1:5" ht="13.5" thickBot="1">
      <c r="A30" s="517">
        <v>53112</v>
      </c>
      <c r="B30" s="517" t="s">
        <v>1068</v>
      </c>
      <c r="C30" s="521"/>
      <c r="D30" s="519"/>
      <c r="E30" s="518">
        <f>+(E15+E16+E17+E18+E19)*0.27</f>
        <v>1050.3000000000002</v>
      </c>
    </row>
    <row r="31" spans="1:5" ht="16.5" thickBot="1">
      <c r="A31" s="2502" t="s">
        <v>1386</v>
      </c>
      <c r="B31" s="2503"/>
      <c r="C31" s="2503"/>
      <c r="D31" s="2503"/>
      <c r="E31" s="509">
        <f>+E30</f>
        <v>1050.3000000000002</v>
      </c>
    </row>
    <row r="32" spans="1:5" ht="12.75">
      <c r="A32" s="66"/>
      <c r="B32" s="66"/>
      <c r="C32" s="67"/>
      <c r="D32" s="67"/>
      <c r="E32" s="67"/>
    </row>
    <row r="33" spans="1:5" ht="12.75">
      <c r="A33" s="2469" t="s">
        <v>172</v>
      </c>
      <c r="B33" s="2469"/>
      <c r="C33" s="2469"/>
      <c r="D33" s="2469"/>
      <c r="E33" s="2469"/>
    </row>
    <row r="34" spans="3:5" ht="12.75">
      <c r="C34" s="7"/>
      <c r="D34" s="7"/>
      <c r="E34" s="7"/>
    </row>
    <row r="35" spans="1:5" ht="12.75">
      <c r="A35" s="11">
        <v>56211</v>
      </c>
      <c r="B35" s="11" t="s">
        <v>1400</v>
      </c>
      <c r="C35" s="11"/>
      <c r="D35" s="35"/>
      <c r="E35" s="1010">
        <v>284</v>
      </c>
    </row>
    <row r="36" spans="1:5" s="12" customFormat="1" ht="12.75">
      <c r="A36" s="11">
        <v>57211</v>
      </c>
      <c r="B36" s="11" t="s">
        <v>1069</v>
      </c>
      <c r="C36" s="11"/>
      <c r="D36" s="35"/>
      <c r="E36" s="35">
        <f>E24*1.19*0.26</f>
        <v>92.82000000000001</v>
      </c>
    </row>
    <row r="37" spans="1:5" ht="13.5" thickBot="1">
      <c r="A37" s="517">
        <v>57213</v>
      </c>
      <c r="B37" s="517" t="s">
        <v>1181</v>
      </c>
      <c r="C37" s="518"/>
      <c r="D37" s="518"/>
      <c r="E37" s="518">
        <f>+'rehabilitációs hj '!E17</f>
        <v>96</v>
      </c>
    </row>
    <row r="38" spans="1:5" ht="16.5" thickBot="1">
      <c r="A38" s="2502" t="s">
        <v>1372</v>
      </c>
      <c r="B38" s="2503"/>
      <c r="C38" s="2503"/>
      <c r="D38" s="2503"/>
      <c r="E38" s="522">
        <f>+E37+E35+E36</f>
        <v>472.82</v>
      </c>
    </row>
    <row r="39" spans="1:5" ht="16.5" thickBot="1">
      <c r="A39" s="2510" t="s">
        <v>1375</v>
      </c>
      <c r="B39" s="2511"/>
      <c r="C39" s="2511"/>
      <c r="D39" s="2511"/>
      <c r="E39" s="523">
        <f>E26+E31+E38</f>
        <v>5911.12</v>
      </c>
    </row>
    <row r="40" spans="1:5" s="527" customFormat="1" ht="15.75">
      <c r="A40" s="524"/>
      <c r="B40" s="525"/>
      <c r="C40" s="525"/>
      <c r="D40" s="525"/>
      <c r="E40" s="526"/>
    </row>
    <row r="41" spans="1:8" s="58" customFormat="1" ht="15">
      <c r="A41" s="2512" t="s">
        <v>1377</v>
      </c>
      <c r="B41" s="2512"/>
      <c r="C41" s="2512"/>
      <c r="D41" s="2512"/>
      <c r="E41" s="2512"/>
      <c r="F41" s="74"/>
      <c r="G41" s="74"/>
      <c r="H41" s="74"/>
    </row>
    <row r="42" spans="1:8" s="58" customFormat="1" ht="15">
      <c r="A42" s="75"/>
      <c r="B42" s="75"/>
      <c r="C42" s="34"/>
      <c r="D42" s="34"/>
      <c r="E42" s="34"/>
      <c r="F42" s="34"/>
      <c r="G42" s="34"/>
      <c r="H42" s="34"/>
    </row>
    <row r="43" s="58" customFormat="1" ht="12.75"/>
    <row r="44" s="58" customFormat="1" ht="13.5" thickBot="1"/>
    <row r="45" spans="1:8" s="58" customFormat="1" ht="15.75" thickBot="1">
      <c r="A45" s="2506" t="s">
        <v>1378</v>
      </c>
      <c r="B45" s="2507"/>
      <c r="C45" s="2507"/>
      <c r="D45" s="2507"/>
      <c r="E45" s="2508"/>
      <c r="F45" s="74"/>
      <c r="G45" s="74"/>
      <c r="H45" s="74"/>
    </row>
    <row r="46" s="58" customFormat="1" ht="12.75"/>
    <row r="47" s="58" customFormat="1" ht="12.75"/>
  </sheetData>
  <sheetProtection/>
  <mergeCells count="12">
    <mergeCell ref="A4:E4"/>
    <mergeCell ref="A5:E5"/>
    <mergeCell ref="A6:E6"/>
    <mergeCell ref="A7:E7"/>
    <mergeCell ref="A45:E45"/>
    <mergeCell ref="A26:D26"/>
    <mergeCell ref="A29:E29"/>
    <mergeCell ref="A39:D39"/>
    <mergeCell ref="A31:D31"/>
    <mergeCell ref="A33:E33"/>
    <mergeCell ref="A38:D38"/>
    <mergeCell ref="A41:E41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M439"/>
  <sheetViews>
    <sheetView view="pageBreakPreview" zoomScaleNormal="85" zoomScaleSheetLayoutView="100" zoomScalePageLayoutView="0" workbookViewId="0" topLeftCell="A43">
      <selection activeCell="C51" sqref="C51"/>
    </sheetView>
  </sheetViews>
  <sheetFormatPr defaultColWidth="9.140625" defaultRowHeight="12.75"/>
  <cols>
    <col min="1" max="1" width="13.57421875" style="0" bestFit="1" customWidth="1"/>
    <col min="2" max="2" width="50.8515625" style="0" customWidth="1"/>
    <col min="3" max="4" width="13.57421875" style="0" bestFit="1" customWidth="1"/>
    <col min="5" max="5" width="14.00390625" style="0" bestFit="1" customWidth="1"/>
    <col min="6" max="6" width="13.57421875" style="0" bestFit="1" customWidth="1"/>
    <col min="7" max="7" width="10.421875" style="0" bestFit="1" customWidth="1"/>
  </cols>
  <sheetData>
    <row r="1" ht="18">
      <c r="B1" s="101" t="s">
        <v>9</v>
      </c>
    </row>
    <row r="2" ht="18">
      <c r="B2" s="393" t="s">
        <v>1031</v>
      </c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2469" t="s">
        <v>83</v>
      </c>
      <c r="B6" s="2469"/>
      <c r="C6" s="2469"/>
      <c r="D6" s="2469"/>
      <c r="E6" s="2469"/>
    </row>
    <row r="7" spans="1:7" s="9" customFormat="1" ht="12.75">
      <c r="A7" s="65"/>
      <c r="B7" s="388" t="s">
        <v>117</v>
      </c>
      <c r="C7" s="67">
        <v>0</v>
      </c>
      <c r="D7" s="52">
        <f>+ROUND(C7,-3)</f>
        <v>0</v>
      </c>
      <c r="G7" s="10"/>
    </row>
    <row r="8" spans="1:7" s="24" customFormat="1" ht="12.75">
      <c r="A8" s="63">
        <v>522151</v>
      </c>
      <c r="B8" s="63" t="s">
        <v>1385</v>
      </c>
      <c r="C8" s="60"/>
      <c r="D8" s="60"/>
      <c r="E8" s="60">
        <f>+D7/1000</f>
        <v>0</v>
      </c>
      <c r="G8" s="33"/>
    </row>
    <row r="9" spans="2:13" ht="12.75">
      <c r="B9" s="12" t="s">
        <v>2251</v>
      </c>
      <c r="C9" s="61">
        <f>7*45000*12</f>
        <v>3780000</v>
      </c>
      <c r="D9" s="7">
        <v>3780000</v>
      </c>
      <c r="E9" s="7"/>
      <c r="G9" s="2514"/>
      <c r="H9" s="2454"/>
      <c r="I9" s="2454"/>
      <c r="J9" s="2454"/>
      <c r="K9" s="2454"/>
      <c r="L9" s="2454"/>
      <c r="M9" s="2454"/>
    </row>
    <row r="10" spans="1:5" ht="12.75">
      <c r="A10" s="63">
        <v>52216</v>
      </c>
      <c r="B10" s="63" t="s">
        <v>180</v>
      </c>
      <c r="C10" s="60"/>
      <c r="D10" s="60"/>
      <c r="E10" s="60">
        <f>+D9/1000</f>
        <v>3780</v>
      </c>
    </row>
    <row r="12" spans="1:5" ht="15.75">
      <c r="A12" s="2495" t="s">
        <v>169</v>
      </c>
      <c r="B12" s="2495"/>
      <c r="C12" s="2495"/>
      <c r="D12" s="2495"/>
      <c r="E12" s="78">
        <f>E8+E10</f>
        <v>3780</v>
      </c>
    </row>
    <row r="15" spans="1:5" ht="12.75">
      <c r="A15" s="2420" t="s">
        <v>170</v>
      </c>
      <c r="B15" s="2509"/>
      <c r="C15" s="2509"/>
      <c r="D15" s="2509"/>
      <c r="E15" s="2509"/>
    </row>
    <row r="17" spans="1:5" ht="15.75">
      <c r="A17" s="99">
        <v>53112</v>
      </c>
      <c r="B17" s="37" t="s">
        <v>1068</v>
      </c>
      <c r="C17" s="64"/>
      <c r="D17" s="44"/>
      <c r="E17" s="35">
        <f>+E12*0.27</f>
        <v>1020.6</v>
      </c>
    </row>
    <row r="18" spans="1:5" ht="15.75">
      <c r="A18" s="2490" t="s">
        <v>1386</v>
      </c>
      <c r="B18" s="2490"/>
      <c r="C18" s="2490"/>
      <c r="D18" s="2490"/>
      <c r="E18" s="505">
        <f>+E17</f>
        <v>1020.6</v>
      </c>
    </row>
    <row r="21" spans="1:5" ht="12.75">
      <c r="A21" s="2420" t="s">
        <v>172</v>
      </c>
      <c r="B21" s="2509"/>
      <c r="C21" s="2509"/>
      <c r="D21" s="2509"/>
      <c r="E21" s="2509"/>
    </row>
    <row r="22" spans="1:5" ht="12.75">
      <c r="A22" s="2469" t="s">
        <v>1388</v>
      </c>
      <c r="B22" s="2469"/>
      <c r="C22" s="2469"/>
      <c r="D22" s="2469"/>
      <c r="E22" s="2469"/>
    </row>
    <row r="23" spans="1:5" ht="12.75">
      <c r="A23" s="2469" t="s">
        <v>1391</v>
      </c>
      <c r="B23" s="2469"/>
      <c r="C23" s="2469"/>
      <c r="D23" s="2469"/>
      <c r="E23" s="2469"/>
    </row>
    <row r="24" spans="1:5" ht="12.75">
      <c r="A24" s="63">
        <v>55219</v>
      </c>
      <c r="B24" s="70" t="s">
        <v>1425</v>
      </c>
      <c r="C24" s="60">
        <f>SUM(C25:C29)</f>
        <v>4186284</v>
      </c>
      <c r="D24" s="60">
        <f>+ROUND(C24,-3)</f>
        <v>4186000</v>
      </c>
      <c r="E24" s="60">
        <f>+D24/1000</f>
        <v>4186</v>
      </c>
    </row>
    <row r="25" spans="1:5" ht="12.75">
      <c r="A25" s="53"/>
      <c r="B25" s="76" t="s">
        <v>1155</v>
      </c>
      <c r="C25" s="1986">
        <v>500000</v>
      </c>
      <c r="D25" s="53"/>
      <c r="E25" s="53"/>
    </row>
    <row r="26" spans="1:5" ht="12.75">
      <c r="A26" s="53"/>
      <c r="B26" s="307" t="s">
        <v>642</v>
      </c>
      <c r="C26" s="77">
        <f>91000*12</f>
        <v>1092000</v>
      </c>
      <c r="D26" s="53"/>
      <c r="E26" s="53"/>
    </row>
    <row r="27" spans="1:5" ht="12.75">
      <c r="A27" s="53"/>
      <c r="B27" s="307" t="s">
        <v>643</v>
      </c>
      <c r="C27" s="77">
        <f>489568*4</f>
        <v>1958272</v>
      </c>
      <c r="D27" s="53"/>
      <c r="E27" s="53"/>
    </row>
    <row r="28" spans="1:5" ht="12.75">
      <c r="A28" s="53"/>
      <c r="B28" s="307" t="s">
        <v>644</v>
      </c>
      <c r="C28" s="77">
        <f>34003*4</f>
        <v>136012</v>
      </c>
      <c r="D28" s="53"/>
      <c r="E28" s="53"/>
    </row>
    <row r="29" spans="2:5" ht="12.75">
      <c r="B29" s="21" t="s">
        <v>1154</v>
      </c>
      <c r="C29" s="7">
        <v>500000</v>
      </c>
      <c r="D29" s="7"/>
      <c r="E29" s="7"/>
    </row>
    <row r="32" spans="1:5" ht="12.75">
      <c r="A32" s="2469" t="s">
        <v>1398</v>
      </c>
      <c r="B32" s="2469"/>
      <c r="C32" s="2469"/>
      <c r="D32" s="2469"/>
      <c r="E32" s="2469"/>
    </row>
    <row r="33" spans="1:5" ht="12.75">
      <c r="A33" s="53"/>
      <c r="B33" s="53"/>
      <c r="C33" s="53"/>
      <c r="D33" s="53"/>
      <c r="E33" s="53"/>
    </row>
    <row r="34" spans="1:5" ht="12.75">
      <c r="A34" s="53"/>
      <c r="B34" s="53"/>
      <c r="C34" s="53"/>
      <c r="D34" s="53"/>
      <c r="E34" s="53"/>
    </row>
    <row r="35" spans="1:5" ht="12.75">
      <c r="A35" s="71">
        <v>56111</v>
      </c>
      <c r="B35" s="72" t="s">
        <v>1399</v>
      </c>
      <c r="C35" s="72">
        <f>+(C26+C25+C51)*0.27</f>
        <v>462240.00000000006</v>
      </c>
      <c r="D35" s="60">
        <f>+ROUND(C35,-3)</f>
        <v>462000</v>
      </c>
      <c r="E35" s="60">
        <f>+D35/1000</f>
        <v>462</v>
      </c>
    </row>
    <row r="36" spans="1:5" ht="12.75">
      <c r="A36" s="65"/>
      <c r="B36" s="65"/>
      <c r="C36" s="65"/>
      <c r="D36" s="57"/>
      <c r="E36" s="57"/>
    </row>
    <row r="37" spans="1:5" ht="12.75">
      <c r="A37" s="63">
        <v>56213</v>
      </c>
      <c r="B37" s="63" t="s">
        <v>1401</v>
      </c>
      <c r="C37" s="63"/>
      <c r="D37" s="60"/>
      <c r="E37" s="60">
        <v>250</v>
      </c>
    </row>
    <row r="39" spans="1:5" ht="12.75">
      <c r="A39" s="63">
        <v>56214</v>
      </c>
      <c r="B39" s="63" t="s">
        <v>1419</v>
      </c>
      <c r="C39" s="60"/>
      <c r="D39" s="60"/>
      <c r="E39" s="60"/>
    </row>
    <row r="41" spans="1:5" ht="15.75">
      <c r="A41" s="2495" t="s">
        <v>1372</v>
      </c>
      <c r="B41" s="2495"/>
      <c r="C41" s="2495"/>
      <c r="D41" s="2495"/>
      <c r="E41" s="73">
        <f>+E24+E37+E39+E35</f>
        <v>4898</v>
      </c>
    </row>
    <row r="43" spans="1:7" ht="15.75">
      <c r="A43" s="2493" t="s">
        <v>1375</v>
      </c>
      <c r="B43" s="2493"/>
      <c r="C43" s="2493"/>
      <c r="D43" s="2493"/>
      <c r="E43" s="79">
        <f>E12+E18+E41</f>
        <v>9698.6</v>
      </c>
      <c r="F43" s="7"/>
      <c r="G43" s="7"/>
    </row>
    <row r="44" spans="6:7" ht="12.75">
      <c r="F44" s="7"/>
      <c r="G44" s="7"/>
    </row>
    <row r="45" spans="6:7" ht="12.75">
      <c r="F45" s="7"/>
      <c r="G45" s="7"/>
    </row>
    <row r="46" spans="1:7" ht="15">
      <c r="A46" s="2515" t="s">
        <v>1374</v>
      </c>
      <c r="B46" s="2515"/>
      <c r="C46" s="2515"/>
      <c r="D46" s="2515"/>
      <c r="E46" s="2515"/>
      <c r="F46" s="7"/>
      <c r="G46" s="7"/>
    </row>
    <row r="47" spans="6:7" ht="12.75">
      <c r="F47" s="7"/>
      <c r="G47" s="7"/>
    </row>
    <row r="48" spans="1:7" ht="12.75">
      <c r="A48" s="2469"/>
      <c r="B48" s="2469"/>
      <c r="C48" s="2469"/>
      <c r="D48" s="2469"/>
      <c r="E48" s="2469"/>
      <c r="F48" s="7"/>
      <c r="G48" s="7"/>
    </row>
    <row r="49" spans="6:7" ht="12.75">
      <c r="F49" s="7"/>
      <c r="G49" s="7"/>
    </row>
    <row r="50" spans="1:7" ht="15.75">
      <c r="A50" s="2495"/>
      <c r="B50" s="2495"/>
      <c r="C50" s="2495"/>
      <c r="D50" s="2495"/>
      <c r="E50" s="73"/>
      <c r="F50" s="7"/>
      <c r="G50" s="7"/>
    </row>
    <row r="51" spans="2:7" ht="12.75">
      <c r="B51" t="s">
        <v>2252</v>
      </c>
      <c r="C51">
        <v>120000</v>
      </c>
      <c r="E51">
        <f>ROUND(C51,-3)/1000</f>
        <v>120</v>
      </c>
      <c r="F51" s="7"/>
      <c r="G51" s="7"/>
    </row>
    <row r="52" spans="1:7" ht="12.75">
      <c r="A52" s="1987"/>
      <c r="B52" s="1988" t="s">
        <v>13</v>
      </c>
      <c r="C52" s="1988">
        <f>120000*0.27</f>
        <v>32400.000000000004</v>
      </c>
      <c r="D52" s="1987"/>
      <c r="E52">
        <f>ROUND(C52,-3)/1000</f>
        <v>32</v>
      </c>
      <c r="F52" s="7"/>
      <c r="G52" s="7"/>
    </row>
    <row r="53" spans="6:7" ht="12.75">
      <c r="F53" s="7"/>
      <c r="G53" s="7"/>
    </row>
    <row r="54" spans="1:7" ht="15.75">
      <c r="A54" s="2495"/>
      <c r="B54" s="2495"/>
      <c r="C54" s="2495"/>
      <c r="D54" s="2495"/>
      <c r="E54" s="73"/>
      <c r="F54" s="7"/>
      <c r="G54" s="7"/>
    </row>
    <row r="55" spans="6:7" ht="12.75">
      <c r="F55" s="7"/>
      <c r="G55" s="7"/>
    </row>
    <row r="56" spans="1:7" ht="12.75">
      <c r="A56" s="2469"/>
      <c r="B56" s="2469"/>
      <c r="C56" s="2469"/>
      <c r="D56" s="2469"/>
      <c r="E56" s="2469"/>
      <c r="F56" s="7"/>
      <c r="G56" s="7"/>
    </row>
    <row r="57" spans="6:7" ht="12.75">
      <c r="F57" s="7"/>
      <c r="G57" s="7"/>
    </row>
    <row r="58" spans="1:7" ht="15.75">
      <c r="A58" s="2495"/>
      <c r="B58" s="2495"/>
      <c r="C58" s="2495"/>
      <c r="D58" s="2495"/>
      <c r="E58" s="73"/>
      <c r="F58" s="7"/>
      <c r="G58" s="7"/>
    </row>
    <row r="59" spans="6:7" ht="12.75">
      <c r="F59" s="7"/>
      <c r="G59" s="7"/>
    </row>
    <row r="60" spans="1:7" ht="12.75">
      <c r="A60" s="2469"/>
      <c r="B60" s="2469"/>
      <c r="C60" s="2469"/>
      <c r="D60" s="2469"/>
      <c r="E60" s="2469"/>
      <c r="F60" s="7"/>
      <c r="G60" s="7"/>
    </row>
    <row r="61" spans="6:7" ht="12.75">
      <c r="F61" s="7"/>
      <c r="G61" s="7"/>
    </row>
    <row r="62" spans="1:7" ht="15.75">
      <c r="A62" s="2495"/>
      <c r="B62" s="2495"/>
      <c r="C62" s="2495"/>
      <c r="D62" s="2495"/>
      <c r="E62" s="73"/>
      <c r="F62" s="7"/>
      <c r="G62" s="7"/>
    </row>
    <row r="63" spans="6:7" ht="12.75">
      <c r="F63" s="7"/>
      <c r="G63" s="7"/>
    </row>
    <row r="64" spans="1:7" ht="15.75">
      <c r="A64" s="2493" t="s">
        <v>1376</v>
      </c>
      <c r="B64" s="2493"/>
      <c r="C64" s="2493"/>
      <c r="D64" s="2493"/>
      <c r="E64" s="79">
        <f>E51+E52</f>
        <v>152</v>
      </c>
      <c r="F64" s="7"/>
      <c r="G64" s="7"/>
    </row>
    <row r="65" spans="6:7" ht="12.75">
      <c r="F65" s="7"/>
      <c r="G65" s="7"/>
    </row>
    <row r="66" spans="6:7" ht="12.75">
      <c r="F66" s="7"/>
      <c r="G66" s="7"/>
    </row>
    <row r="67" spans="6:7" ht="12.75">
      <c r="F67" s="7"/>
      <c r="G67" s="7"/>
    </row>
    <row r="68" spans="6:7" ht="12.75">
      <c r="F68" s="7"/>
      <c r="G68" s="7"/>
    </row>
    <row r="69" spans="6:7" ht="12.75">
      <c r="F69" s="7"/>
      <c r="G69" s="7"/>
    </row>
    <row r="70" spans="6:7" ht="12.75">
      <c r="F70" s="7"/>
      <c r="G70" s="7"/>
    </row>
    <row r="71" spans="6:7" ht="12.75">
      <c r="F71" s="7"/>
      <c r="G71" s="7"/>
    </row>
    <row r="72" spans="6:7" ht="12.75">
      <c r="F72" s="7"/>
      <c r="G72" s="7"/>
    </row>
    <row r="73" spans="6:7" ht="12.75">
      <c r="F73" s="7"/>
      <c r="G73" s="7"/>
    </row>
    <row r="74" spans="6:7" ht="12.75">
      <c r="F74" s="7"/>
      <c r="G74" s="7"/>
    </row>
    <row r="75" spans="6:7" ht="12.75">
      <c r="F75" s="7"/>
      <c r="G75" s="7"/>
    </row>
    <row r="76" spans="6:7" ht="12.75">
      <c r="F76" s="7"/>
      <c r="G76" s="7"/>
    </row>
    <row r="77" spans="6:7" ht="12.75">
      <c r="F77" s="7"/>
      <c r="G77" s="7"/>
    </row>
    <row r="78" spans="6:7" ht="12.75">
      <c r="F78" s="10"/>
      <c r="G78" s="7"/>
    </row>
    <row r="79" spans="6:7" ht="12.75">
      <c r="F79" s="7"/>
      <c r="G79" s="7"/>
    </row>
    <row r="80" spans="6:7" ht="12.75">
      <c r="F80" s="7"/>
      <c r="G80" s="7"/>
    </row>
    <row r="81" spans="6:7" ht="12.75">
      <c r="F81" s="7"/>
      <c r="G81" s="7"/>
    </row>
    <row r="82" spans="6:7" ht="12.75">
      <c r="F82" s="7"/>
      <c r="G82" s="7"/>
    </row>
    <row r="83" spans="6:7" ht="12.75">
      <c r="F83" s="7"/>
      <c r="G83" s="7"/>
    </row>
    <row r="84" spans="6:7" ht="12.75">
      <c r="F84" s="7"/>
      <c r="G84" s="7"/>
    </row>
    <row r="85" spans="6:7" ht="12.75">
      <c r="F85" s="7"/>
      <c r="G85" s="7"/>
    </row>
    <row r="86" spans="6:7" ht="12.75">
      <c r="F86" s="7"/>
      <c r="G86" s="7"/>
    </row>
    <row r="87" spans="6:7" ht="12.75">
      <c r="F87" s="7"/>
      <c r="G87" s="7"/>
    </row>
    <row r="88" spans="6:7" ht="12.75">
      <c r="F88" s="7"/>
      <c r="G88" s="7"/>
    </row>
    <row r="89" spans="6:7" ht="12.75">
      <c r="F89" s="7"/>
      <c r="G89" s="7"/>
    </row>
    <row r="90" spans="6:7" ht="12.75">
      <c r="F90" s="7"/>
      <c r="G90" s="7"/>
    </row>
    <row r="91" spans="6:7" ht="12.75">
      <c r="F91" s="7"/>
      <c r="G91" s="7"/>
    </row>
    <row r="92" spans="6:7" ht="12.75">
      <c r="F92" s="10"/>
      <c r="G92" s="7"/>
    </row>
    <row r="93" spans="6:7" ht="12.75">
      <c r="F93" s="7"/>
      <c r="G93" s="7"/>
    </row>
    <row r="94" spans="6:7" ht="12.75">
      <c r="F94" s="7"/>
      <c r="G94" s="7"/>
    </row>
    <row r="95" spans="6:7" ht="12.75">
      <c r="F95" s="7"/>
      <c r="G95" s="7"/>
    </row>
    <row r="96" spans="6:7" ht="12.75">
      <c r="F96" s="7"/>
      <c r="G96" s="7"/>
    </row>
    <row r="97" spans="6:7" ht="12.75">
      <c r="F97" s="7"/>
      <c r="G97" s="7"/>
    </row>
    <row r="98" spans="6:7" ht="12.75">
      <c r="F98" s="7"/>
      <c r="G98" s="7"/>
    </row>
    <row r="99" spans="6:7" ht="12.75">
      <c r="F99" s="7"/>
      <c r="G99" s="7"/>
    </row>
    <row r="100" spans="6:7" ht="12.75">
      <c r="F100" s="7"/>
      <c r="G100" s="7"/>
    </row>
    <row r="101" spans="6:7" ht="12.75">
      <c r="F101" s="7"/>
      <c r="G101" s="7"/>
    </row>
    <row r="102" spans="6:7" ht="12.75">
      <c r="F102" s="7"/>
      <c r="G102" s="7"/>
    </row>
    <row r="103" spans="6:7" ht="12.75">
      <c r="F103" s="7"/>
      <c r="G103" s="7"/>
    </row>
    <row r="104" spans="6:7" ht="12.75">
      <c r="F104" s="7"/>
      <c r="G104" s="7"/>
    </row>
    <row r="105" spans="6:7" ht="12.75">
      <c r="F105" s="7"/>
      <c r="G105" s="7"/>
    </row>
    <row r="106" spans="6:7" ht="12.75">
      <c r="F106" s="7"/>
      <c r="G106" s="7"/>
    </row>
    <row r="107" spans="6:7" ht="12.75">
      <c r="F107" s="7"/>
      <c r="G107" s="7"/>
    </row>
    <row r="108" spans="6:7" ht="12.75">
      <c r="F108" s="7"/>
      <c r="G108" s="7"/>
    </row>
    <row r="109" spans="6:7" ht="12.75">
      <c r="F109" s="7"/>
      <c r="G109" s="7"/>
    </row>
    <row r="110" spans="6:7" ht="12.75">
      <c r="F110" s="7"/>
      <c r="G110" s="7"/>
    </row>
    <row r="111" spans="6:7" ht="12.75">
      <c r="F111" s="7"/>
      <c r="G111" s="7"/>
    </row>
    <row r="112" spans="6:7" ht="12.75">
      <c r="F112" s="7"/>
      <c r="G112" s="7"/>
    </row>
    <row r="113" spans="6:7" ht="12.75">
      <c r="F113" s="7"/>
      <c r="G113" s="7"/>
    </row>
    <row r="114" spans="6:7" ht="12.75">
      <c r="F114" s="7"/>
      <c r="G114" s="7"/>
    </row>
    <row r="115" spans="6:7" ht="12.75">
      <c r="F115" s="7"/>
      <c r="G115" s="7"/>
    </row>
    <row r="116" spans="6:7" ht="12.75">
      <c r="F116" s="7"/>
      <c r="G116" s="7"/>
    </row>
    <row r="117" spans="6:7" ht="12.75">
      <c r="F117" s="7"/>
      <c r="G117" s="7"/>
    </row>
    <row r="118" spans="6:7" ht="12.75">
      <c r="F118" s="7"/>
      <c r="G118" s="7"/>
    </row>
    <row r="119" spans="6:7" ht="12.75">
      <c r="F119" s="7"/>
      <c r="G119" s="7"/>
    </row>
    <row r="120" spans="6:7" ht="12.75">
      <c r="F120" s="7"/>
      <c r="G120" s="7"/>
    </row>
    <row r="121" spans="6:7" ht="12.75">
      <c r="F121" s="7"/>
      <c r="G121" s="7"/>
    </row>
    <row r="122" spans="6:7" ht="12.75">
      <c r="F122" s="7"/>
      <c r="G122" s="7"/>
    </row>
    <row r="123" spans="6:7" ht="12.75">
      <c r="F123" s="7"/>
      <c r="G123" s="7"/>
    </row>
    <row r="124" spans="6:7" ht="12.75">
      <c r="F124" s="7"/>
      <c r="G124" s="7"/>
    </row>
    <row r="125" spans="6:7" ht="12.75">
      <c r="F125" s="7"/>
      <c r="G125" s="7"/>
    </row>
    <row r="126" spans="6:7" ht="12.75">
      <c r="F126" s="7"/>
      <c r="G126" s="7"/>
    </row>
    <row r="127" spans="6:7" ht="12.75">
      <c r="F127" s="7"/>
      <c r="G127" s="7"/>
    </row>
    <row r="128" spans="6:7" ht="12.75">
      <c r="F128" s="7"/>
      <c r="G128" s="7"/>
    </row>
    <row r="129" spans="6:7" ht="12.75">
      <c r="F129" s="7"/>
      <c r="G129" s="7"/>
    </row>
    <row r="130" spans="6:7" ht="12.75">
      <c r="F130" s="7"/>
      <c r="G130" s="7"/>
    </row>
    <row r="131" spans="6:7" ht="12.75">
      <c r="F131" s="7"/>
      <c r="G131" s="7"/>
    </row>
    <row r="132" spans="6:7" ht="12.75">
      <c r="F132" s="7"/>
      <c r="G132" s="7"/>
    </row>
    <row r="133" spans="6:7" ht="12.75">
      <c r="F133" s="7"/>
      <c r="G133" s="7"/>
    </row>
    <row r="134" spans="6:7" ht="12.75">
      <c r="F134" s="7"/>
      <c r="G134" s="7"/>
    </row>
    <row r="135" spans="6:7" ht="12.75">
      <c r="F135" s="7"/>
      <c r="G135" s="7"/>
    </row>
    <row r="136" spans="6:7" ht="12.75">
      <c r="F136" s="7"/>
      <c r="G136" s="7"/>
    </row>
    <row r="137" spans="6:7" ht="12.75">
      <c r="F137" s="7"/>
      <c r="G137" s="7"/>
    </row>
    <row r="138" spans="6:7" ht="12.75">
      <c r="F138" s="7"/>
      <c r="G138" s="7"/>
    </row>
    <row r="139" spans="6:7" ht="12.75">
      <c r="F139" s="7"/>
      <c r="G139" s="7"/>
    </row>
    <row r="140" spans="6:7" ht="12.75">
      <c r="F140" s="7"/>
      <c r="G140" s="7"/>
    </row>
    <row r="141" spans="6:7" ht="12.75">
      <c r="F141" s="7"/>
      <c r="G141" s="7"/>
    </row>
    <row r="142" spans="6:7" ht="12.75">
      <c r="F142" s="7"/>
      <c r="G142" s="7"/>
    </row>
    <row r="143" spans="6:7" ht="12.75">
      <c r="F143" s="7"/>
      <c r="G143" s="7"/>
    </row>
    <row r="144" spans="6:7" ht="12.75">
      <c r="F144" s="7"/>
      <c r="G144" s="7"/>
    </row>
    <row r="145" spans="6:7" ht="12.75">
      <c r="F145" s="7"/>
      <c r="G145" s="7"/>
    </row>
    <row r="146" spans="6:7" ht="12.75">
      <c r="F146" s="7"/>
      <c r="G146" s="7"/>
    </row>
    <row r="147" spans="6:7" ht="12.75">
      <c r="F147" s="7"/>
      <c r="G147" s="7"/>
    </row>
    <row r="148" spans="6:7" ht="12.75">
      <c r="F148" s="7"/>
      <c r="G148" s="7"/>
    </row>
    <row r="149" spans="6:7" ht="12.75">
      <c r="F149" s="7"/>
      <c r="G149" s="7"/>
    </row>
    <row r="150" spans="6:7" ht="12.75">
      <c r="F150" s="7"/>
      <c r="G150" s="7"/>
    </row>
    <row r="151" spans="6:7" ht="12.75">
      <c r="F151" s="7"/>
      <c r="G151" s="7"/>
    </row>
    <row r="152" spans="6:7" ht="12.75">
      <c r="F152" s="7"/>
      <c r="G152" s="7"/>
    </row>
    <row r="153" spans="6:7" ht="12.75">
      <c r="F153" s="7"/>
      <c r="G153" s="7"/>
    </row>
    <row r="154" spans="6:7" ht="12.75">
      <c r="F154" s="7"/>
      <c r="G154" s="7"/>
    </row>
    <row r="155" spans="6:7" ht="12.75">
      <c r="F155" s="7"/>
      <c r="G155" s="7"/>
    </row>
    <row r="156" spans="6:7" ht="12.75">
      <c r="F156" s="7"/>
      <c r="G156" s="7"/>
    </row>
    <row r="157" spans="6:7" ht="12.75">
      <c r="F157" s="7"/>
      <c r="G157" s="7"/>
    </row>
    <row r="158" spans="6:7" ht="12.75">
      <c r="F158" s="7"/>
      <c r="G158" s="7"/>
    </row>
    <row r="159" spans="6:7" ht="12.75">
      <c r="F159" s="7"/>
      <c r="G159" s="7"/>
    </row>
    <row r="160" spans="6:7" ht="12.75">
      <c r="F160" s="7"/>
      <c r="G160" s="7"/>
    </row>
    <row r="161" spans="6:7" ht="12.75">
      <c r="F161" s="7"/>
      <c r="G161" s="7"/>
    </row>
    <row r="162" spans="6:7" ht="12.75">
      <c r="F162" s="7"/>
      <c r="G162" s="7"/>
    </row>
    <row r="163" spans="6:7" ht="12.75">
      <c r="F163" s="7"/>
      <c r="G163" s="7"/>
    </row>
    <row r="164" spans="6:7" ht="12.75">
      <c r="F164" s="7"/>
      <c r="G164" s="7"/>
    </row>
    <row r="165" spans="6:7" ht="12.75">
      <c r="F165" s="7"/>
      <c r="G165" s="7"/>
    </row>
    <row r="166" spans="6:7" ht="12.75">
      <c r="F166" s="7"/>
      <c r="G166" s="7"/>
    </row>
    <row r="167" spans="6:7" ht="12.75">
      <c r="F167" s="7"/>
      <c r="G167" s="7"/>
    </row>
    <row r="168" spans="6:7" ht="12.75">
      <c r="F168" s="7"/>
      <c r="G168" s="7"/>
    </row>
    <row r="169" spans="6:7" ht="12.75">
      <c r="F169" s="7"/>
      <c r="G169" s="7"/>
    </row>
    <row r="170" spans="6:7" ht="12.75">
      <c r="F170" s="7"/>
      <c r="G170" s="7"/>
    </row>
    <row r="171" spans="6:7" ht="12.75">
      <c r="F171" s="7"/>
      <c r="G171" s="7"/>
    </row>
    <row r="172" spans="6:7" ht="12.75">
      <c r="F172" s="7"/>
      <c r="G172" s="7"/>
    </row>
    <row r="173" spans="6:7" ht="12.75">
      <c r="F173" s="7"/>
      <c r="G173" s="7"/>
    </row>
    <row r="174" spans="6:7" ht="12.75">
      <c r="F174" s="7"/>
      <c r="G174" s="7"/>
    </row>
    <row r="175" spans="6:7" ht="12.75">
      <c r="F175" s="7"/>
      <c r="G175" s="7"/>
    </row>
    <row r="176" spans="6:7" ht="12.75">
      <c r="F176" s="7"/>
      <c r="G176" s="7"/>
    </row>
    <row r="177" spans="6:7" ht="12.75">
      <c r="F177" s="7"/>
      <c r="G177" s="7"/>
    </row>
    <row r="178" spans="6:7" ht="12.75">
      <c r="F178" s="7"/>
      <c r="G178" s="7"/>
    </row>
    <row r="179" spans="6:7" ht="12.75">
      <c r="F179" s="7"/>
      <c r="G179" s="7"/>
    </row>
    <row r="180" spans="6:7" ht="12.75">
      <c r="F180" s="7"/>
      <c r="G180" s="7"/>
    </row>
    <row r="181" spans="6:7" ht="12.75">
      <c r="F181" s="7"/>
      <c r="G181" s="7"/>
    </row>
    <row r="182" spans="6:7" ht="12.75">
      <c r="F182" s="7"/>
      <c r="G182" s="7"/>
    </row>
    <row r="183" spans="6:7" ht="12.75">
      <c r="F183" s="7"/>
      <c r="G183" s="7"/>
    </row>
    <row r="184" spans="6:7" ht="12.75">
      <c r="F184" s="7"/>
      <c r="G184" s="7"/>
    </row>
    <row r="185" spans="6:7" ht="12.75">
      <c r="F185" s="7"/>
      <c r="G185" s="7"/>
    </row>
    <row r="186" spans="6:7" ht="12.75">
      <c r="F186" s="7"/>
      <c r="G186" s="7"/>
    </row>
    <row r="187" spans="6:7" ht="12.75">
      <c r="F187" s="7"/>
      <c r="G187" s="7"/>
    </row>
    <row r="188" spans="6:7" ht="12.75">
      <c r="F188" s="7"/>
      <c r="G188" s="7"/>
    </row>
    <row r="189" spans="6:7" ht="12.75">
      <c r="F189" s="7"/>
      <c r="G189" s="7"/>
    </row>
    <row r="190" spans="6:7" ht="12.75">
      <c r="F190" s="7"/>
      <c r="G190" s="7"/>
    </row>
    <row r="191" spans="6:7" ht="12.75">
      <c r="F191" s="7"/>
      <c r="G191" s="7"/>
    </row>
    <row r="192" spans="6:7" ht="12.75">
      <c r="F192" s="7"/>
      <c r="G192" s="7"/>
    </row>
    <row r="193" spans="6:7" ht="12.75">
      <c r="F193" s="7"/>
      <c r="G193" s="7"/>
    </row>
    <row r="194" spans="6:7" ht="12.75">
      <c r="F194" s="7"/>
      <c r="G194" s="7"/>
    </row>
    <row r="195" spans="6:7" ht="12.75">
      <c r="F195" s="7"/>
      <c r="G195" s="7"/>
    </row>
    <row r="196" spans="6:7" ht="12.75">
      <c r="F196" s="7"/>
      <c r="G196" s="7"/>
    </row>
    <row r="197" spans="6:7" ht="12.75">
      <c r="F197" s="7"/>
      <c r="G197" s="7"/>
    </row>
    <row r="198" spans="6:7" ht="12.75">
      <c r="F198" s="7"/>
      <c r="G198" s="7"/>
    </row>
    <row r="199" spans="6:7" ht="12.75">
      <c r="F199" s="7"/>
      <c r="G199" s="7"/>
    </row>
    <row r="200" spans="6:7" ht="12.75">
      <c r="F200" s="7"/>
      <c r="G200" s="7"/>
    </row>
    <row r="201" spans="6:7" ht="12.75">
      <c r="F201" s="7"/>
      <c r="G201" s="7"/>
    </row>
    <row r="202" spans="6:7" ht="12.75">
      <c r="F202" s="7"/>
      <c r="G202" s="7"/>
    </row>
    <row r="203" spans="6:7" ht="12.75">
      <c r="F203" s="7"/>
      <c r="G203" s="7"/>
    </row>
    <row r="204" spans="6:7" ht="12.75">
      <c r="F204" s="7"/>
      <c r="G204" s="7"/>
    </row>
    <row r="205" spans="6:7" ht="12.75">
      <c r="F205" s="7"/>
      <c r="G205" s="7"/>
    </row>
    <row r="206" spans="6:7" ht="12.75">
      <c r="F206" s="7"/>
      <c r="G206" s="7"/>
    </row>
    <row r="207" spans="6:7" ht="12.75">
      <c r="F207" s="7"/>
      <c r="G207" s="7"/>
    </row>
    <row r="208" spans="6:7" ht="12.75">
      <c r="F208" s="7"/>
      <c r="G208" s="7"/>
    </row>
    <row r="209" spans="6:7" ht="12.75">
      <c r="F209" s="7"/>
      <c r="G209" s="7"/>
    </row>
    <row r="210" spans="6:7" ht="12.75">
      <c r="F210" s="7"/>
      <c r="G210" s="7"/>
    </row>
    <row r="211" spans="6:7" ht="12.75">
      <c r="F211" s="7"/>
      <c r="G211" s="7"/>
    </row>
    <row r="212" spans="6:7" ht="12.75">
      <c r="F212" s="7"/>
      <c r="G212" s="7"/>
    </row>
    <row r="213" spans="6:7" ht="12.75">
      <c r="F213" s="7"/>
      <c r="G213" s="7"/>
    </row>
    <row r="214" spans="6:7" ht="12.75">
      <c r="F214" s="7"/>
      <c r="G214" s="7"/>
    </row>
    <row r="215" spans="6:7" ht="12.75">
      <c r="F215" s="7"/>
      <c r="G215" s="7"/>
    </row>
    <row r="216" spans="6:7" ht="12.75">
      <c r="F216" s="7"/>
      <c r="G216" s="7"/>
    </row>
    <row r="217" spans="6:7" ht="12.75">
      <c r="F217" s="7"/>
      <c r="G217" s="7"/>
    </row>
    <row r="218" spans="6:7" ht="12.75">
      <c r="F218" s="7"/>
      <c r="G218" s="7"/>
    </row>
    <row r="219" spans="6:7" ht="12.75">
      <c r="F219" s="7"/>
      <c r="G219" s="7"/>
    </row>
    <row r="220" spans="6:7" ht="12.75">
      <c r="F220" s="7"/>
      <c r="G220" s="7"/>
    </row>
    <row r="221" spans="6:7" ht="12.75">
      <c r="F221" s="7"/>
      <c r="G221" s="7"/>
    </row>
    <row r="222" spans="6:7" ht="12.75">
      <c r="F222" s="7"/>
      <c r="G222" s="7"/>
    </row>
    <row r="223" spans="6:7" ht="12.75">
      <c r="F223" s="7"/>
      <c r="G223" s="7"/>
    </row>
    <row r="224" spans="6:7" ht="12.75">
      <c r="F224" s="7"/>
      <c r="G224" s="7"/>
    </row>
    <row r="225" spans="6:7" ht="12.75">
      <c r="F225" s="7"/>
      <c r="G225" s="7"/>
    </row>
    <row r="226" spans="6:7" ht="12.75">
      <c r="F226" s="7"/>
      <c r="G226" s="7"/>
    </row>
    <row r="227" spans="6:7" ht="12.75">
      <c r="F227" s="7"/>
      <c r="G227" s="7"/>
    </row>
    <row r="228" spans="6:7" ht="12.75">
      <c r="F228" s="7"/>
      <c r="G228" s="7"/>
    </row>
    <row r="229" spans="6:7" ht="12.75">
      <c r="F229" s="7"/>
      <c r="G229" s="7"/>
    </row>
    <row r="230" spans="6:7" ht="12.75">
      <c r="F230" s="7"/>
      <c r="G230" s="7"/>
    </row>
    <row r="231" spans="6:7" ht="12.75">
      <c r="F231" s="7"/>
      <c r="G231" s="7"/>
    </row>
    <row r="232" spans="6:7" ht="12.75">
      <c r="F232" s="7"/>
      <c r="G232" s="7"/>
    </row>
    <row r="233" spans="6:7" ht="12.75">
      <c r="F233" s="7"/>
      <c r="G233" s="7"/>
    </row>
    <row r="234" spans="6:7" ht="12.75">
      <c r="F234" s="7"/>
      <c r="G234" s="7"/>
    </row>
    <row r="235" spans="6:7" ht="12.75">
      <c r="F235" s="7"/>
      <c r="G235" s="7"/>
    </row>
    <row r="236" spans="6:7" ht="12.75">
      <c r="F236" s="7"/>
      <c r="G236" s="7"/>
    </row>
    <row r="237" spans="6:7" ht="12.75">
      <c r="F237" s="7"/>
      <c r="G237" s="7"/>
    </row>
    <row r="238" spans="6:7" ht="12.75">
      <c r="F238" s="7"/>
      <c r="G238" s="7"/>
    </row>
    <row r="239" spans="6:7" ht="12.75">
      <c r="F239" s="7"/>
      <c r="G239" s="7"/>
    </row>
    <row r="240" spans="6:7" ht="12.75">
      <c r="F240" s="7"/>
      <c r="G240" s="7"/>
    </row>
    <row r="241" spans="6:7" ht="12.75">
      <c r="F241" s="7"/>
      <c r="G241" s="7"/>
    </row>
    <row r="242" spans="6:7" ht="12.75">
      <c r="F242" s="7"/>
      <c r="G242" s="7"/>
    </row>
    <row r="243" spans="6:7" ht="12.75">
      <c r="F243" s="7"/>
      <c r="G243" s="7"/>
    </row>
    <row r="244" spans="6:7" ht="12.75">
      <c r="F244" s="7"/>
      <c r="G244" s="7"/>
    </row>
    <row r="245" spans="6:7" ht="12.75">
      <c r="F245" s="7"/>
      <c r="G245" s="7"/>
    </row>
    <row r="246" spans="6:7" ht="12.75">
      <c r="F246" s="7"/>
      <c r="G246" s="7"/>
    </row>
    <row r="247" spans="6:7" ht="12.75">
      <c r="F247" s="7"/>
      <c r="G247" s="7"/>
    </row>
    <row r="248" spans="6:7" ht="12.75">
      <c r="F248" s="7"/>
      <c r="G248" s="7"/>
    </row>
    <row r="249" spans="6:7" ht="12.75">
      <c r="F249" s="7"/>
      <c r="G249" s="7"/>
    </row>
    <row r="250" spans="6:7" ht="12.75">
      <c r="F250" s="7"/>
      <c r="G250" s="7"/>
    </row>
    <row r="251" spans="6:7" ht="12.75">
      <c r="F251" s="7"/>
      <c r="G251" s="7"/>
    </row>
    <row r="252" spans="6:7" ht="12.75">
      <c r="F252" s="7"/>
      <c r="G252" s="7"/>
    </row>
    <row r="253" spans="6:7" ht="12.75">
      <c r="F253" s="7"/>
      <c r="G253" s="7"/>
    </row>
    <row r="254" spans="6:7" ht="12.75">
      <c r="F254" s="7"/>
      <c r="G254" s="7"/>
    </row>
    <row r="255" spans="6:7" ht="12.75">
      <c r="F255" s="7"/>
      <c r="G255" s="7"/>
    </row>
    <row r="256" spans="6:7" ht="12.75">
      <c r="F256" s="7"/>
      <c r="G256" s="7"/>
    </row>
    <row r="257" spans="6:7" ht="12.75">
      <c r="F257" s="7"/>
      <c r="G257" s="7"/>
    </row>
    <row r="258" spans="6:7" ht="12.75">
      <c r="F258" s="7"/>
      <c r="G258" s="7"/>
    </row>
    <row r="259" spans="6:7" ht="12.75">
      <c r="F259" s="7"/>
      <c r="G259" s="7"/>
    </row>
    <row r="260" spans="6:7" ht="12.75">
      <c r="F260" s="7"/>
      <c r="G260" s="7"/>
    </row>
    <row r="261" spans="6:7" ht="12.75">
      <c r="F261" s="7"/>
      <c r="G261" s="7"/>
    </row>
    <row r="262" spans="6:7" ht="12.75">
      <c r="F262" s="7"/>
      <c r="G262" s="7"/>
    </row>
    <row r="263" spans="6:7" ht="12.75">
      <c r="F263" s="7"/>
      <c r="G263" s="7"/>
    </row>
    <row r="264" spans="6:7" ht="12.75">
      <c r="F264" s="7"/>
      <c r="G264" s="7"/>
    </row>
    <row r="265" spans="6:7" ht="12.75">
      <c r="F265" s="7"/>
      <c r="G265" s="7"/>
    </row>
    <row r="266" spans="6:7" ht="12.75">
      <c r="F266" s="7"/>
      <c r="G266" s="7"/>
    </row>
    <row r="267" spans="6:7" ht="12.75">
      <c r="F267" s="7"/>
      <c r="G267" s="7"/>
    </row>
    <row r="268" spans="6:7" ht="12.75">
      <c r="F268" s="7"/>
      <c r="G268" s="7"/>
    </row>
    <row r="269" spans="6:7" ht="12.75">
      <c r="F269" s="7"/>
      <c r="G269" s="7"/>
    </row>
    <row r="270" spans="6:7" ht="12.75">
      <c r="F270" s="7"/>
      <c r="G270" s="7"/>
    </row>
    <row r="271" spans="6:7" ht="12.75">
      <c r="F271" s="7"/>
      <c r="G271" s="7"/>
    </row>
    <row r="272" spans="6:7" ht="12.75">
      <c r="F272" s="7"/>
      <c r="G272" s="7"/>
    </row>
    <row r="273" spans="6:7" ht="12.75">
      <c r="F273" s="7"/>
      <c r="G273" s="7"/>
    </row>
    <row r="274" spans="6:7" ht="12.75">
      <c r="F274" s="7"/>
      <c r="G274" s="7"/>
    </row>
    <row r="275" spans="6:7" ht="12.75">
      <c r="F275" s="7"/>
      <c r="G275" s="7"/>
    </row>
    <row r="276" spans="6:7" ht="12.75">
      <c r="F276" s="7"/>
      <c r="G276" s="7"/>
    </row>
    <row r="277" spans="6:7" ht="12.75">
      <c r="F277" s="7"/>
      <c r="G277" s="7"/>
    </row>
    <row r="278" spans="6:7" ht="12.75">
      <c r="F278" s="7"/>
      <c r="G278" s="7"/>
    </row>
    <row r="279" spans="6:7" ht="12.75">
      <c r="F279" s="7"/>
      <c r="G279" s="7"/>
    </row>
    <row r="280" spans="6:7" ht="12.75">
      <c r="F280" s="7"/>
      <c r="G280" s="7"/>
    </row>
    <row r="281" spans="6:7" ht="12.75">
      <c r="F281" s="7"/>
      <c r="G281" s="7"/>
    </row>
    <row r="282" spans="6:7" ht="12.75">
      <c r="F282" s="7"/>
      <c r="G282" s="7"/>
    </row>
    <row r="283" spans="6:7" ht="12.75">
      <c r="F283" s="7"/>
      <c r="G283" s="7"/>
    </row>
    <row r="284" spans="6:7" ht="12.75">
      <c r="F284" s="7"/>
      <c r="G284" s="7"/>
    </row>
    <row r="285" spans="6:7" ht="12.75">
      <c r="F285" s="7"/>
      <c r="G285" s="7"/>
    </row>
    <row r="286" spans="6:7" ht="12.75">
      <c r="F286" s="7"/>
      <c r="G286" s="7"/>
    </row>
    <row r="287" spans="6:7" ht="12.75">
      <c r="F287" s="7"/>
      <c r="G287" s="7"/>
    </row>
    <row r="288" spans="6:7" ht="12.75">
      <c r="F288" s="7"/>
      <c r="G288" s="7"/>
    </row>
    <row r="289" spans="6:7" ht="12.75">
      <c r="F289" s="7"/>
      <c r="G289" s="7"/>
    </row>
    <row r="290" spans="6:7" ht="12.75">
      <c r="F290" s="7"/>
      <c r="G290" s="7"/>
    </row>
    <row r="291" spans="6:7" ht="12.75">
      <c r="F291" s="7"/>
      <c r="G291" s="7"/>
    </row>
    <row r="292" spans="6:7" ht="12.75">
      <c r="F292" s="7"/>
      <c r="G292" s="7"/>
    </row>
    <row r="293" spans="6:7" ht="12.75">
      <c r="F293" s="7"/>
      <c r="G293" s="7"/>
    </row>
    <row r="294" spans="6:7" ht="12.75">
      <c r="F294" s="7"/>
      <c r="G294" s="7"/>
    </row>
    <row r="295" spans="6:7" ht="12.75">
      <c r="F295" s="7"/>
      <c r="G295" s="7"/>
    </row>
    <row r="296" spans="6:7" ht="12.75">
      <c r="F296" s="7"/>
      <c r="G296" s="7"/>
    </row>
    <row r="297" spans="6:7" ht="12.75">
      <c r="F297" s="7"/>
      <c r="G297" s="7"/>
    </row>
    <row r="298" spans="6:7" ht="12.75">
      <c r="F298" s="7"/>
      <c r="G298" s="7"/>
    </row>
    <row r="299" spans="6:7" ht="12.75">
      <c r="F299" s="7"/>
      <c r="G299" s="7"/>
    </row>
    <row r="300" spans="6:7" ht="12.75">
      <c r="F300" s="7"/>
      <c r="G300" s="7"/>
    </row>
    <row r="301" spans="6:7" ht="12.75">
      <c r="F301" s="7"/>
      <c r="G301" s="7"/>
    </row>
    <row r="302" spans="6:7" ht="12.75">
      <c r="F302" s="7"/>
      <c r="G302" s="7"/>
    </row>
    <row r="303" spans="6:7" ht="12.75">
      <c r="F303" s="7"/>
      <c r="G303" s="7"/>
    </row>
    <row r="304" spans="6:7" ht="12.75">
      <c r="F304" s="7"/>
      <c r="G304" s="7"/>
    </row>
    <row r="305" spans="6:7" ht="12.75">
      <c r="F305" s="7"/>
      <c r="G305" s="7"/>
    </row>
    <row r="306" spans="6:7" ht="12.75">
      <c r="F306" s="7"/>
      <c r="G306" s="7"/>
    </row>
    <row r="307" spans="6:7" ht="12.75">
      <c r="F307" s="7"/>
      <c r="G307" s="7"/>
    </row>
    <row r="308" spans="6:7" ht="12.75">
      <c r="F308" s="7"/>
      <c r="G308" s="7"/>
    </row>
    <row r="309" spans="6:7" ht="12.75">
      <c r="F309" s="7"/>
      <c r="G309" s="7"/>
    </row>
    <row r="310" spans="6:7" ht="12.75">
      <c r="F310" s="7"/>
      <c r="G310" s="7"/>
    </row>
    <row r="311" spans="6:7" ht="12.75">
      <c r="F311" s="7"/>
      <c r="G311" s="7"/>
    </row>
    <row r="312" spans="6:7" ht="12.75">
      <c r="F312" s="7"/>
      <c r="G312" s="7"/>
    </row>
    <row r="313" spans="6:7" ht="12.75">
      <c r="F313" s="7"/>
      <c r="G313" s="7"/>
    </row>
    <row r="314" spans="6:7" ht="12.75">
      <c r="F314" s="7"/>
      <c r="G314" s="7"/>
    </row>
    <row r="315" spans="6:7" ht="12.75">
      <c r="F315" s="7"/>
      <c r="G315" s="7"/>
    </row>
    <row r="316" spans="6:7" ht="12.75">
      <c r="F316" s="7"/>
      <c r="G316" s="7"/>
    </row>
    <row r="317" spans="6:7" ht="12.75">
      <c r="F317" s="7"/>
      <c r="G317" s="7"/>
    </row>
    <row r="318" spans="6:7" ht="12.75">
      <c r="F318" s="7"/>
      <c r="G318" s="7"/>
    </row>
    <row r="319" spans="6:7" ht="12.75">
      <c r="F319" s="7"/>
      <c r="G319" s="7"/>
    </row>
    <row r="320" spans="6:7" ht="12.75">
      <c r="F320" s="7"/>
      <c r="G320" s="7"/>
    </row>
    <row r="321" spans="6:7" ht="12.75">
      <c r="F321" s="7"/>
      <c r="G321" s="7"/>
    </row>
    <row r="322" spans="6:7" ht="12.75">
      <c r="F322" s="7"/>
      <c r="G322" s="7"/>
    </row>
    <row r="323" spans="6:7" ht="12.75">
      <c r="F323" s="7"/>
      <c r="G323" s="7"/>
    </row>
    <row r="324" spans="6:7" ht="12.75">
      <c r="F324" s="7"/>
      <c r="G324" s="7"/>
    </row>
    <row r="325" spans="6:7" ht="12.75">
      <c r="F325" s="7"/>
      <c r="G325" s="7"/>
    </row>
    <row r="326" spans="6:7" ht="12.75">
      <c r="F326" s="7"/>
      <c r="G326" s="7"/>
    </row>
    <row r="327" spans="6:7" ht="12.75">
      <c r="F327" s="7"/>
      <c r="G327" s="7"/>
    </row>
    <row r="328" spans="6:7" ht="12.75">
      <c r="F328" s="7"/>
      <c r="G328" s="7"/>
    </row>
    <row r="329" spans="6:7" ht="12.75">
      <c r="F329" s="7"/>
      <c r="G329" s="7"/>
    </row>
    <row r="330" spans="6:7" ht="12.75">
      <c r="F330" s="7"/>
      <c r="G330" s="7"/>
    </row>
    <row r="331" spans="6:7" ht="12.75">
      <c r="F331" s="7"/>
      <c r="G331" s="7"/>
    </row>
    <row r="332" spans="6:7" ht="12.75">
      <c r="F332" s="7"/>
      <c r="G332" s="7"/>
    </row>
    <row r="333" spans="6:7" ht="12.75">
      <c r="F333" s="7"/>
      <c r="G333" s="7"/>
    </row>
    <row r="334" spans="6:7" ht="12.75">
      <c r="F334" s="7"/>
      <c r="G334" s="7"/>
    </row>
    <row r="335" spans="6:7" ht="12.75">
      <c r="F335" s="7"/>
      <c r="G335" s="7"/>
    </row>
    <row r="336" spans="6:7" ht="12.75">
      <c r="F336" s="7"/>
      <c r="G336" s="7"/>
    </row>
    <row r="337" spans="6:7" ht="12.75">
      <c r="F337" s="7"/>
      <c r="G337" s="7"/>
    </row>
    <row r="338" spans="6:7" ht="12.75">
      <c r="F338" s="7"/>
      <c r="G338" s="7"/>
    </row>
    <row r="339" spans="6:7" ht="12.75">
      <c r="F339" s="7"/>
      <c r="G339" s="7"/>
    </row>
    <row r="340" spans="6:7" ht="12.75">
      <c r="F340" s="7"/>
      <c r="G340" s="7"/>
    </row>
    <row r="341" spans="6:7" ht="12.75">
      <c r="F341" s="7"/>
      <c r="G341" s="7"/>
    </row>
    <row r="342" spans="6:7" ht="12.75">
      <c r="F342" s="7"/>
      <c r="G342" s="7"/>
    </row>
    <row r="343" spans="6:7" ht="12.75">
      <c r="F343" s="7"/>
      <c r="G343" s="7"/>
    </row>
    <row r="344" spans="6:7" ht="12.75">
      <c r="F344" s="7"/>
      <c r="G344" s="7"/>
    </row>
    <row r="345" spans="6:7" ht="12.75">
      <c r="F345" s="7"/>
      <c r="G345" s="7"/>
    </row>
    <row r="346" spans="6:7" ht="12.75">
      <c r="F346" s="7"/>
      <c r="G346" s="7"/>
    </row>
    <row r="347" spans="6:7" ht="12.75">
      <c r="F347" s="7"/>
      <c r="G347" s="7"/>
    </row>
    <row r="348" spans="6:7" ht="12.75">
      <c r="F348" s="7"/>
      <c r="G348" s="7"/>
    </row>
    <row r="349" spans="6:7" ht="12.75">
      <c r="F349" s="7"/>
      <c r="G349" s="7"/>
    </row>
    <row r="350" spans="6:7" ht="12.75">
      <c r="F350" s="7"/>
      <c r="G350" s="7"/>
    </row>
    <row r="351" spans="6:7" ht="12.75">
      <c r="F351" s="7"/>
      <c r="G351" s="7"/>
    </row>
    <row r="352" spans="6:7" ht="12.75">
      <c r="F352" s="7"/>
      <c r="G352" s="7"/>
    </row>
    <row r="353" spans="6:7" ht="12.75">
      <c r="F353" s="7"/>
      <c r="G353" s="7"/>
    </row>
    <row r="354" spans="6:7" ht="12.75">
      <c r="F354" s="7"/>
      <c r="G354" s="7"/>
    </row>
    <row r="355" spans="6:7" ht="12.75">
      <c r="F355" s="7"/>
      <c r="G355" s="7"/>
    </row>
    <row r="356" spans="6:7" ht="12.75">
      <c r="F356" s="7"/>
      <c r="G356" s="7"/>
    </row>
    <row r="357" spans="6:7" ht="12.75">
      <c r="F357" s="7"/>
      <c r="G357" s="7"/>
    </row>
    <row r="358" spans="6:7" ht="12.75">
      <c r="F358" s="7"/>
      <c r="G358" s="7"/>
    </row>
    <row r="359" spans="6:7" ht="12.75">
      <c r="F359" s="7"/>
      <c r="G359" s="7"/>
    </row>
    <row r="360" spans="6:7" ht="12.75">
      <c r="F360" s="7"/>
      <c r="G360" s="7"/>
    </row>
    <row r="361" spans="6:7" ht="12.75">
      <c r="F361" s="7"/>
      <c r="G361" s="7"/>
    </row>
    <row r="362" spans="6:7" ht="12.75">
      <c r="F362" s="7"/>
      <c r="G362" s="7"/>
    </row>
    <row r="363" spans="6:7" ht="12.75">
      <c r="F363" s="7"/>
      <c r="G363" s="7"/>
    </row>
    <row r="364" spans="6:7" ht="12.75">
      <c r="F364" s="7"/>
      <c r="G364" s="7"/>
    </row>
    <row r="365" spans="6:7" ht="12.75">
      <c r="F365" s="7"/>
      <c r="G365" s="7"/>
    </row>
    <row r="366" spans="6:7" ht="12.75">
      <c r="F366" s="7"/>
      <c r="G366" s="7"/>
    </row>
    <row r="367" spans="6:7" ht="12.75">
      <c r="F367" s="7"/>
      <c r="G367" s="7"/>
    </row>
    <row r="368" spans="6:7" ht="12.75">
      <c r="F368" s="7"/>
      <c r="G368" s="7"/>
    </row>
    <row r="369" spans="6:7" ht="12.75">
      <c r="F369" s="7"/>
      <c r="G369" s="7"/>
    </row>
    <row r="370" spans="6:7" ht="12.75">
      <c r="F370" s="7"/>
      <c r="G370" s="7"/>
    </row>
    <row r="371" spans="6:7" ht="12.75">
      <c r="F371" s="7"/>
      <c r="G371" s="7"/>
    </row>
    <row r="372" spans="6:7" ht="12.75">
      <c r="F372" s="7"/>
      <c r="G372" s="7"/>
    </row>
    <row r="373" spans="6:7" ht="12.75">
      <c r="F373" s="7"/>
      <c r="G373" s="7"/>
    </row>
    <row r="374" spans="6:7" ht="12.75">
      <c r="F374" s="7"/>
      <c r="G374" s="7"/>
    </row>
    <row r="375" spans="6:7" ht="12.75">
      <c r="F375" s="7"/>
      <c r="G375" s="7"/>
    </row>
    <row r="376" spans="6:7" ht="12.75">
      <c r="F376" s="7"/>
      <c r="G376" s="7"/>
    </row>
    <row r="377" spans="6:7" ht="12.75">
      <c r="F377" s="7"/>
      <c r="G377" s="7"/>
    </row>
    <row r="378" spans="6:7" ht="12.75">
      <c r="F378" s="7"/>
      <c r="G378" s="7"/>
    </row>
    <row r="379" spans="6:7" ht="12.75">
      <c r="F379" s="7"/>
      <c r="G379" s="7"/>
    </row>
    <row r="380" spans="6:7" ht="12.75">
      <c r="F380" s="7"/>
      <c r="G380" s="7"/>
    </row>
    <row r="381" spans="6:7" ht="12.75">
      <c r="F381" s="7"/>
      <c r="G381" s="7"/>
    </row>
    <row r="382" spans="6:7" ht="12.75">
      <c r="F382" s="7"/>
      <c r="G382" s="7"/>
    </row>
    <row r="383" spans="6:7" ht="12.75">
      <c r="F383" s="7"/>
      <c r="G383" s="7"/>
    </row>
    <row r="384" spans="6:7" ht="12.75">
      <c r="F384" s="7"/>
      <c r="G384" s="7"/>
    </row>
    <row r="385" spans="6:7" ht="12.75">
      <c r="F385" s="7"/>
      <c r="G385" s="7"/>
    </row>
    <row r="386" spans="6:7" ht="12.75">
      <c r="F386" s="7"/>
      <c r="G386" s="7"/>
    </row>
    <row r="387" spans="6:7" ht="12.75">
      <c r="F387" s="7"/>
      <c r="G387" s="7"/>
    </row>
    <row r="388" spans="6:7" ht="12.75">
      <c r="F388" s="7"/>
      <c r="G388" s="7"/>
    </row>
    <row r="389" spans="6:7" ht="12.75">
      <c r="F389" s="7"/>
      <c r="G389" s="7"/>
    </row>
    <row r="390" spans="6:7" ht="12.75">
      <c r="F390" s="7"/>
      <c r="G390" s="7"/>
    </row>
    <row r="391" spans="6:7" ht="12.75">
      <c r="F391" s="7"/>
      <c r="G391" s="7"/>
    </row>
    <row r="392" spans="6:7" ht="12.75">
      <c r="F392" s="7"/>
      <c r="G392" s="7"/>
    </row>
    <row r="393" spans="6:7" ht="12.75">
      <c r="F393" s="7"/>
      <c r="G393" s="7"/>
    </row>
    <row r="394" spans="6:7" ht="12.75">
      <c r="F394" s="7"/>
      <c r="G394" s="7"/>
    </row>
    <row r="395" spans="6:7" ht="12.75">
      <c r="F395" s="7"/>
      <c r="G395" s="7"/>
    </row>
    <row r="396" spans="6:7" ht="12.75">
      <c r="F396" s="7"/>
      <c r="G396" s="7"/>
    </row>
    <row r="397" spans="6:7" ht="12.75">
      <c r="F397" s="7"/>
      <c r="G397" s="7"/>
    </row>
    <row r="398" spans="6:7" ht="12.75">
      <c r="F398" s="7"/>
      <c r="G398" s="7"/>
    </row>
    <row r="399" spans="6:7" ht="12.75">
      <c r="F399" s="7"/>
      <c r="G399" s="7"/>
    </row>
    <row r="400" spans="6:7" ht="12.75">
      <c r="F400" s="7"/>
      <c r="G400" s="7"/>
    </row>
    <row r="401" spans="6:7" ht="12.75">
      <c r="F401" s="7"/>
      <c r="G401" s="7"/>
    </row>
    <row r="402" spans="6:7" ht="12.75">
      <c r="F402" s="7"/>
      <c r="G402" s="7"/>
    </row>
    <row r="403" spans="6:7" ht="12.75">
      <c r="F403" s="7"/>
      <c r="G403" s="7"/>
    </row>
    <row r="404" spans="6:7" ht="12.75">
      <c r="F404" s="7"/>
      <c r="G404" s="7"/>
    </row>
    <row r="405" spans="6:7" ht="12.75">
      <c r="F405" s="7"/>
      <c r="G405" s="7"/>
    </row>
    <row r="406" spans="6:7" ht="12.75">
      <c r="F406" s="7"/>
      <c r="G406" s="7"/>
    </row>
    <row r="407" spans="6:7" ht="12.75">
      <c r="F407" s="7"/>
      <c r="G407" s="7"/>
    </row>
    <row r="408" spans="6:7" ht="12.75">
      <c r="F408" s="7"/>
      <c r="G408" s="7"/>
    </row>
    <row r="409" spans="6:7" ht="12.75">
      <c r="F409" s="7"/>
      <c r="G409" s="7"/>
    </row>
    <row r="410" spans="6:7" ht="12.75">
      <c r="F410" s="7"/>
      <c r="G410" s="7"/>
    </row>
    <row r="411" spans="6:7" ht="12.75">
      <c r="F411" s="7"/>
      <c r="G411" s="7"/>
    </row>
    <row r="412" spans="6:7" ht="12.75">
      <c r="F412" s="7"/>
      <c r="G412" s="7"/>
    </row>
    <row r="413" spans="6:7" ht="12.75">
      <c r="F413" s="7"/>
      <c r="G413" s="7"/>
    </row>
    <row r="414" spans="6:7" ht="12.75">
      <c r="F414" s="7"/>
      <c r="G414" s="7"/>
    </row>
    <row r="415" spans="6:7" ht="12.75">
      <c r="F415" s="7"/>
      <c r="G415" s="7"/>
    </row>
    <row r="416" spans="6:7" ht="12.75">
      <c r="F416" s="7"/>
      <c r="G416" s="7"/>
    </row>
    <row r="417" spans="6:7" ht="12.75">
      <c r="F417" s="7"/>
      <c r="G417" s="7"/>
    </row>
    <row r="418" spans="6:7" ht="12.75">
      <c r="F418" s="7"/>
      <c r="G418" s="7"/>
    </row>
    <row r="419" spans="6:7" ht="12.75">
      <c r="F419" s="7"/>
      <c r="G419" s="7"/>
    </row>
    <row r="420" spans="6:7" ht="12.75">
      <c r="F420" s="7"/>
      <c r="G420" s="7"/>
    </row>
    <row r="421" spans="6:7" ht="12.75">
      <c r="F421" s="7"/>
      <c r="G421" s="7"/>
    </row>
    <row r="422" spans="6:7" ht="12.75">
      <c r="F422" s="7"/>
      <c r="G422" s="7"/>
    </row>
    <row r="423" spans="6:7" ht="12.75">
      <c r="F423" s="7"/>
      <c r="G423" s="7"/>
    </row>
    <row r="424" spans="6:7" ht="12.75">
      <c r="F424" s="7"/>
      <c r="G424" s="7"/>
    </row>
    <row r="425" spans="6:7" ht="12.75">
      <c r="F425" s="7"/>
      <c r="G425" s="7"/>
    </row>
    <row r="426" spans="6:7" ht="12.75">
      <c r="F426" s="7"/>
      <c r="G426" s="7"/>
    </row>
    <row r="427" spans="6:7" ht="12.75">
      <c r="F427" s="7"/>
      <c r="G427" s="7"/>
    </row>
    <row r="428" spans="6:7" ht="12.75">
      <c r="F428" s="7"/>
      <c r="G428" s="7"/>
    </row>
    <row r="429" spans="6:7" ht="12.75">
      <c r="F429" s="7"/>
      <c r="G429" s="7"/>
    </row>
    <row r="430" spans="6:7" ht="12.75">
      <c r="F430" s="7"/>
      <c r="G430" s="7"/>
    </row>
    <row r="431" spans="6:7" ht="12.75">
      <c r="F431" s="7"/>
      <c r="G431" s="7"/>
    </row>
    <row r="432" spans="6:7" ht="12.75">
      <c r="F432" s="7"/>
      <c r="G432" s="7"/>
    </row>
    <row r="433" spans="6:7" ht="12.75">
      <c r="F433" s="7"/>
      <c r="G433" s="7"/>
    </row>
    <row r="434" spans="6:7" ht="12.75">
      <c r="F434" s="7"/>
      <c r="G434" s="7"/>
    </row>
    <row r="435" spans="6:7" ht="12.75">
      <c r="F435" s="7"/>
      <c r="G435" s="7"/>
    </row>
    <row r="436" spans="6:7" ht="12.75">
      <c r="F436" s="7"/>
      <c r="G436" s="7"/>
    </row>
    <row r="437" spans="6:7" ht="12.75">
      <c r="F437" s="7"/>
      <c r="G437" s="7"/>
    </row>
    <row r="438" spans="6:7" ht="12.75">
      <c r="F438" s="7"/>
      <c r="G438" s="7"/>
    </row>
    <row r="439" spans="6:7" ht="12.75">
      <c r="F439" s="7"/>
      <c r="G439" s="7"/>
    </row>
  </sheetData>
  <sheetProtection/>
  <mergeCells count="22">
    <mergeCell ref="A23:E23"/>
    <mergeCell ref="A32:E32"/>
    <mergeCell ref="A4:E4"/>
    <mergeCell ref="A5:E5"/>
    <mergeCell ref="A6:E6"/>
    <mergeCell ref="A12:D12"/>
    <mergeCell ref="G9:M9"/>
    <mergeCell ref="A50:D50"/>
    <mergeCell ref="A48:E48"/>
    <mergeCell ref="A15:E15"/>
    <mergeCell ref="A46:E46"/>
    <mergeCell ref="A18:D18"/>
    <mergeCell ref="A43:D43"/>
    <mergeCell ref="A41:D41"/>
    <mergeCell ref="A21:E21"/>
    <mergeCell ref="A22:E22"/>
    <mergeCell ref="A64:D64"/>
    <mergeCell ref="A54:D54"/>
    <mergeCell ref="A56:E56"/>
    <mergeCell ref="A58:D58"/>
    <mergeCell ref="A60:E60"/>
    <mergeCell ref="A62:D6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  <rowBreaks count="1" manualBreakCount="1">
    <brk id="43" max="4" man="1"/>
  </rowBreaks>
  <colBreaks count="1" manualBreakCount="1">
    <brk id="5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421875" style="128" customWidth="1"/>
    <col min="2" max="2" width="59.8515625" style="128" customWidth="1"/>
    <col min="3" max="3" width="15.8515625" style="128" customWidth="1"/>
    <col min="4" max="4" width="14.28125" style="128" customWidth="1"/>
    <col min="5" max="5" width="13.28125" style="128" customWidth="1"/>
    <col min="6" max="6" width="9.140625" style="128" customWidth="1"/>
    <col min="7" max="7" width="13.421875" style="128" customWidth="1"/>
    <col min="8" max="16384" width="9.140625" style="128" customWidth="1"/>
  </cols>
  <sheetData>
    <row r="1" ht="46.5" customHeight="1">
      <c r="B1" s="264" t="s">
        <v>1</v>
      </c>
    </row>
    <row r="2" ht="46.5" customHeight="1">
      <c r="B2" s="264" t="s">
        <v>1058</v>
      </c>
    </row>
    <row r="3" spans="1:6" ht="18.75">
      <c r="A3" s="2518" t="s">
        <v>1373</v>
      </c>
      <c r="B3" s="2518"/>
      <c r="C3" s="2518"/>
      <c r="D3" s="2518"/>
      <c r="E3" s="312"/>
      <c r="F3" s="312"/>
    </row>
    <row r="4" spans="1:4" s="317" customFormat="1" ht="18">
      <c r="A4" s="2516" t="s">
        <v>1528</v>
      </c>
      <c r="B4" s="2516"/>
      <c r="C4" s="2516"/>
      <c r="D4" s="2516"/>
    </row>
    <row r="5" spans="1:4" s="317" customFormat="1" ht="18">
      <c r="A5" s="861"/>
      <c r="B5" s="776" t="s">
        <v>1630</v>
      </c>
      <c r="C5" s="120"/>
      <c r="D5" s="777">
        <v>17004</v>
      </c>
    </row>
    <row r="6" spans="1:5" s="317" customFormat="1" ht="18">
      <c r="A6" s="861"/>
      <c r="B6" s="776" t="s">
        <v>1631</v>
      </c>
      <c r="C6" s="120"/>
      <c r="D6" s="777">
        <f>55247*0.106</f>
        <v>5856.182</v>
      </c>
      <c r="E6" s="18" t="s">
        <v>1632</v>
      </c>
    </row>
    <row r="7" spans="1:4" s="317" customFormat="1" ht="18">
      <c r="A7" s="865"/>
      <c r="B7" s="863"/>
      <c r="C7" s="867"/>
      <c r="D7" s="866"/>
    </row>
    <row r="8" spans="1:4" s="317" customFormat="1" ht="18">
      <c r="A8" s="315"/>
      <c r="B8" s="315" t="s">
        <v>809</v>
      </c>
      <c r="C8" s="315"/>
      <c r="D8" s="316"/>
    </row>
    <row r="9" spans="1:5" s="317" customFormat="1" ht="18">
      <c r="A9" s="776"/>
      <c r="B9" s="776" t="s">
        <v>810</v>
      </c>
      <c r="C9" s="120"/>
      <c r="D9" s="120">
        <f>260000000*0.12/1000</f>
        <v>31200</v>
      </c>
      <c r="E9" s="776" t="s">
        <v>814</v>
      </c>
    </row>
    <row r="10" spans="1:4" s="317" customFormat="1" ht="18">
      <c r="A10" s="776"/>
      <c r="B10" s="776" t="s">
        <v>811</v>
      </c>
      <c r="C10" s="120"/>
      <c r="D10" s="777"/>
    </row>
    <row r="11" spans="1:4" s="317" customFormat="1" ht="18">
      <c r="A11" s="776"/>
      <c r="B11" s="776" t="s">
        <v>812</v>
      </c>
      <c r="C11" s="120"/>
      <c r="D11" s="777">
        <f>20000000*0.16/1000</f>
        <v>3200</v>
      </c>
    </row>
    <row r="12" spans="1:6" s="317" customFormat="1" ht="18">
      <c r="A12" s="324">
        <v>57311</v>
      </c>
      <c r="B12" s="324" t="s">
        <v>2082</v>
      </c>
      <c r="C12" s="111"/>
      <c r="D12" s="325">
        <f>D9+D11+D6</f>
        <v>40256.182</v>
      </c>
      <c r="E12" s="781" t="s">
        <v>1614</v>
      </c>
      <c r="F12" s="781" t="s">
        <v>1615</v>
      </c>
    </row>
    <row r="13" spans="1:6" s="317" customFormat="1" ht="18">
      <c r="A13" s="778"/>
      <c r="B13" s="778" t="s">
        <v>671</v>
      </c>
      <c r="C13" s="109"/>
      <c r="D13" s="779"/>
      <c r="E13" s="780">
        <v>12753</v>
      </c>
      <c r="F13" s="780">
        <f>68000*0.095</f>
        <v>6460</v>
      </c>
    </row>
    <row r="14" spans="1:4" s="317" customFormat="1" ht="18">
      <c r="A14" s="776"/>
      <c r="B14" s="776"/>
      <c r="C14" s="776"/>
      <c r="D14" s="780"/>
    </row>
    <row r="15" spans="1:4" s="317" customFormat="1" ht="18">
      <c r="A15" s="2517" t="s">
        <v>1529</v>
      </c>
      <c r="B15" s="2517"/>
      <c r="C15" s="2517"/>
      <c r="D15" s="864">
        <f>D5+D6+D8+D9+D10+D11</f>
        <v>57260.182</v>
      </c>
    </row>
    <row r="16" s="317" customFormat="1" ht="18"/>
    <row r="17" spans="1:4" ht="18">
      <c r="A17" s="2519" t="s">
        <v>1375</v>
      </c>
      <c r="B17" s="2519"/>
      <c r="C17" s="2519"/>
      <c r="D17" s="319">
        <f>+D15</f>
        <v>57260.182</v>
      </c>
    </row>
    <row r="20" spans="1:4" ht="18.75">
      <c r="A20" s="2518"/>
      <c r="B20" s="2518"/>
      <c r="C20" s="2518"/>
      <c r="D20" s="2518"/>
    </row>
    <row r="21" spans="1:7" s="317" customFormat="1" ht="18">
      <c r="A21" s="315"/>
      <c r="B21" s="315"/>
      <c r="C21" s="315"/>
      <c r="D21" s="318"/>
      <c r="G21" s="316"/>
    </row>
    <row r="22" spans="1:7" s="317" customFormat="1" ht="18.75">
      <c r="A22" s="2520"/>
      <c r="B22" s="2520"/>
      <c r="C22" s="2520"/>
      <c r="D22" s="2520"/>
      <c r="G22" s="316"/>
    </row>
    <row r="23" spans="1:4" s="317" customFormat="1" ht="32.25" customHeight="1">
      <c r="A23" s="330"/>
      <c r="B23" s="327"/>
      <c r="C23" s="320"/>
      <c r="D23" s="322"/>
    </row>
    <row r="24" spans="1:4" s="317" customFormat="1" ht="42.75" customHeight="1">
      <c r="A24" s="330"/>
      <c r="B24" s="327"/>
      <c r="C24" s="451"/>
      <c r="D24" s="452"/>
    </row>
    <row r="25" spans="1:4" s="317" customFormat="1" ht="34.5" customHeight="1">
      <c r="A25" s="328"/>
      <c r="B25" s="328"/>
      <c r="C25" s="315"/>
      <c r="D25" s="318"/>
    </row>
    <row r="26" spans="1:4" s="317" customFormat="1" ht="34.5" customHeight="1">
      <c r="A26" s="328"/>
      <c r="B26" s="328"/>
      <c r="C26" s="315"/>
      <c r="D26" s="318"/>
    </row>
    <row r="27" spans="1:4" s="317" customFormat="1" ht="34.5" customHeight="1">
      <c r="A27" s="328"/>
      <c r="B27" s="328"/>
      <c r="C27" s="315"/>
      <c r="D27" s="318"/>
    </row>
    <row r="28" spans="1:4" s="317" customFormat="1" ht="28.5" customHeight="1">
      <c r="A28" s="329">
        <v>45132</v>
      </c>
      <c r="B28" s="439" t="s">
        <v>1312</v>
      </c>
      <c r="C28" s="168"/>
      <c r="D28" s="458"/>
    </row>
    <row r="29" spans="1:4" s="317" customFormat="1" ht="18">
      <c r="A29" s="321"/>
      <c r="C29" s="166"/>
      <c r="D29" s="322"/>
    </row>
    <row r="30" spans="1:4" s="317" customFormat="1" ht="18">
      <c r="A30" s="2521" t="s">
        <v>1527</v>
      </c>
      <c r="B30" s="2521"/>
      <c r="C30" s="2521"/>
      <c r="D30" s="313"/>
    </row>
    <row r="31" s="317" customFormat="1" ht="18"/>
    <row r="32" spans="1:4" ht="18">
      <c r="A32" s="2519" t="s">
        <v>1376</v>
      </c>
      <c r="B32" s="2519"/>
      <c r="C32" s="2519"/>
      <c r="D32" s="319"/>
    </row>
  </sheetData>
  <sheetProtection/>
  <mergeCells count="8">
    <mergeCell ref="A4:D4"/>
    <mergeCell ref="A15:C15"/>
    <mergeCell ref="A3:D3"/>
    <mergeCell ref="A32:C32"/>
    <mergeCell ref="A22:D22"/>
    <mergeCell ref="A30:C30"/>
    <mergeCell ref="A17:C17"/>
    <mergeCell ref="A20:D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N76"/>
  <sheetViews>
    <sheetView view="pageBreakPreview" zoomScaleSheetLayoutView="100" zoomScalePageLayoutView="0" workbookViewId="0" topLeftCell="A19">
      <selection activeCell="A63" sqref="A63"/>
    </sheetView>
  </sheetViews>
  <sheetFormatPr defaultColWidth="9.140625" defaultRowHeight="12.75"/>
  <cols>
    <col min="1" max="1" width="60.421875" style="0" customWidth="1"/>
    <col min="2" max="2" width="14.57421875" style="0" customWidth="1"/>
    <col min="3" max="3" width="18.00390625" style="0" customWidth="1"/>
    <col min="4" max="4" width="13.28125" style="0" customWidth="1"/>
    <col min="5" max="5" width="14.421875" style="0" customWidth="1"/>
  </cols>
  <sheetData>
    <row r="1" spans="2:5" ht="12.75">
      <c r="B1" s="2387" t="s">
        <v>1249</v>
      </c>
      <c r="C1" s="2387"/>
      <c r="D1" s="2387"/>
      <c r="E1" s="2387"/>
    </row>
    <row r="2" ht="4.5" customHeight="1"/>
    <row r="3" spans="1:14" ht="12.75">
      <c r="A3" s="2389" t="s">
        <v>1345</v>
      </c>
      <c r="B3" s="2389"/>
      <c r="C3" s="2389"/>
      <c r="D3" s="2389"/>
      <c r="E3" s="2389"/>
      <c r="F3" s="406"/>
      <c r="G3" s="406"/>
      <c r="H3" s="406"/>
      <c r="I3" s="406"/>
      <c r="J3" s="406"/>
      <c r="K3" s="406"/>
      <c r="L3" s="406"/>
      <c r="M3" s="406"/>
      <c r="N3" s="406"/>
    </row>
    <row r="5" spans="1:5" ht="34.5" customHeight="1">
      <c r="A5" s="2369" t="s">
        <v>2100</v>
      </c>
      <c r="B5" s="2369"/>
      <c r="C5" s="2369"/>
      <c r="D5" s="2369"/>
      <c r="E5" s="2369"/>
    </row>
    <row r="6" ht="6" customHeight="1"/>
    <row r="7" spans="2:3" ht="12.75">
      <c r="B7" s="2387" t="s">
        <v>1371</v>
      </c>
      <c r="C7" s="2387"/>
    </row>
    <row r="8" spans="1:5" s="9" customFormat="1" ht="26.25" customHeight="1">
      <c r="A8" s="54" t="s">
        <v>1432</v>
      </c>
      <c r="B8" s="16" t="s">
        <v>1370</v>
      </c>
      <c r="C8" s="286" t="s">
        <v>1331</v>
      </c>
      <c r="D8" s="286" t="s">
        <v>822</v>
      </c>
      <c r="E8" s="286" t="s">
        <v>1353</v>
      </c>
    </row>
    <row r="9" spans="1:5" s="9" customFormat="1" ht="12.75">
      <c r="A9" s="47" t="s">
        <v>1212</v>
      </c>
      <c r="B9" s="35">
        <f>SUM(B10:B14)</f>
        <v>1361583.8945</v>
      </c>
      <c r="C9" s="35">
        <f>SUM(C10:C14)</f>
        <v>1404841.1</v>
      </c>
      <c r="D9" s="35">
        <f>SUM(D10:D14)</f>
        <v>1443585</v>
      </c>
      <c r="E9" s="2035">
        <f>D9/C9</f>
        <v>1.0275788485971828</v>
      </c>
    </row>
    <row r="10" spans="1:5" s="9" customFormat="1" ht="12.75">
      <c r="A10" s="310" t="s">
        <v>1213</v>
      </c>
      <c r="B10" s="14">
        <f>+2bm!B28</f>
        <v>527065.8</v>
      </c>
      <c r="C10" s="14">
        <f>+2bm!C28</f>
        <v>546953.7</v>
      </c>
      <c r="D10" s="14">
        <f>+2bm!D28</f>
        <v>550143</v>
      </c>
      <c r="E10" s="2035">
        <f aca="true" t="shared" si="0" ref="E10:E63">D10/C10</f>
        <v>1.005831023722849</v>
      </c>
    </row>
    <row r="11" spans="1:5" s="9" customFormat="1" ht="12.75">
      <c r="A11" s="310" t="s">
        <v>1214</v>
      </c>
      <c r="B11" s="14">
        <f>+2bm!F28</f>
        <v>129384.626</v>
      </c>
      <c r="C11" s="14">
        <f>+2bm!G28</f>
        <v>134754.40000000002</v>
      </c>
      <c r="D11" s="14">
        <f>+2bm!H28</f>
        <v>134977</v>
      </c>
      <c r="E11" s="2035">
        <f t="shared" si="0"/>
        <v>1.0016518941125483</v>
      </c>
    </row>
    <row r="12" spans="1:5" s="9" customFormat="1" ht="12.75">
      <c r="A12" s="310" t="s">
        <v>1216</v>
      </c>
      <c r="B12" s="14">
        <f>+2bm!J28</f>
        <v>395286.46849999996</v>
      </c>
      <c r="C12" s="14">
        <f>+2bm!K28</f>
        <v>413286</v>
      </c>
      <c r="D12" s="14">
        <f>+2bm!L28</f>
        <v>542911</v>
      </c>
      <c r="E12" s="2035">
        <f t="shared" si="0"/>
        <v>1.3136447883547955</v>
      </c>
    </row>
    <row r="13" spans="1:5" s="9" customFormat="1" ht="12.75">
      <c r="A13" s="310" t="s">
        <v>1215</v>
      </c>
      <c r="B13" s="14">
        <f>+2bm!N28</f>
        <v>201360</v>
      </c>
      <c r="C13" s="14">
        <f>+2bm!O28</f>
        <v>201360</v>
      </c>
      <c r="D13" s="14">
        <f>+2bm!P28</f>
        <v>147326</v>
      </c>
      <c r="E13" s="2035">
        <f t="shared" si="0"/>
        <v>0.7316547477155344</v>
      </c>
    </row>
    <row r="14" spans="1:5" s="9" customFormat="1" ht="12.75">
      <c r="A14" s="310" t="s">
        <v>1217</v>
      </c>
      <c r="B14" s="14">
        <f>SUM(B15:B18)</f>
        <v>108487</v>
      </c>
      <c r="C14" s="14">
        <f>SUM(C15:C18)</f>
        <v>108487</v>
      </c>
      <c r="D14" s="14">
        <f>SUM(D15:D18)</f>
        <v>68228</v>
      </c>
      <c r="E14" s="2035">
        <f t="shared" si="0"/>
        <v>0.6289048457418861</v>
      </c>
    </row>
    <row r="15" spans="1:5" s="9" customFormat="1" ht="12.75">
      <c r="A15" s="348" t="s">
        <v>1218</v>
      </c>
      <c r="B15" s="14">
        <f>SUM(2bm!R28)</f>
        <v>50672</v>
      </c>
      <c r="C15" s="14">
        <f>SUM(2bm!S28)</f>
        <v>50672</v>
      </c>
      <c r="D15" s="14">
        <f>SUM(2bm!T28)</f>
        <v>12421</v>
      </c>
      <c r="E15" s="2035">
        <f t="shared" si="0"/>
        <v>0.2451255131038838</v>
      </c>
    </row>
    <row r="16" spans="1:5" s="9" customFormat="1" ht="12.75">
      <c r="A16" s="348" t="s">
        <v>1219</v>
      </c>
      <c r="B16" s="14">
        <f>SUM(2bm!V28)</f>
        <v>57815</v>
      </c>
      <c r="C16" s="14">
        <f>SUM(2bm!W28)</f>
        <v>57815</v>
      </c>
      <c r="D16" s="14">
        <f>SUM(2bm!X28)</f>
        <v>55807</v>
      </c>
      <c r="E16" s="2035">
        <f t="shared" si="0"/>
        <v>0.9652685289284788</v>
      </c>
    </row>
    <row r="17" spans="1:5" s="9" customFormat="1" ht="12.75">
      <c r="A17" s="348" t="s">
        <v>1220</v>
      </c>
      <c r="B17" s="14">
        <v>0</v>
      </c>
      <c r="C17" s="14">
        <v>0</v>
      </c>
      <c r="D17" s="35">
        <v>0</v>
      </c>
      <c r="E17" s="2035">
        <v>0</v>
      </c>
    </row>
    <row r="18" spans="1:5" s="9" customFormat="1" ht="12.75">
      <c r="A18" s="348" t="s">
        <v>1221</v>
      </c>
      <c r="B18" s="14">
        <v>0</v>
      </c>
      <c r="C18" s="14">
        <v>0</v>
      </c>
      <c r="D18" s="35">
        <v>0</v>
      </c>
      <c r="E18" s="2035">
        <v>0</v>
      </c>
    </row>
    <row r="19" spans="1:5" s="9" customFormat="1" ht="12.75">
      <c r="A19" s="47" t="s">
        <v>1222</v>
      </c>
      <c r="B19" s="35">
        <v>0</v>
      </c>
      <c r="C19" s="35">
        <v>0</v>
      </c>
      <c r="D19" s="50">
        <v>2774</v>
      </c>
      <c r="E19" s="2035">
        <v>0</v>
      </c>
    </row>
    <row r="20" spans="1:5" s="9" customFormat="1" ht="12.75">
      <c r="A20" s="9" t="s">
        <v>1237</v>
      </c>
      <c r="B20" s="35">
        <f>+B21</f>
        <v>57260.182</v>
      </c>
      <c r="C20" s="35">
        <f>+C21</f>
        <v>57260</v>
      </c>
      <c r="D20" s="35">
        <f>+D21</f>
        <v>1016538</v>
      </c>
      <c r="E20" s="2035">
        <f t="shared" si="0"/>
        <v>17.75302130632204</v>
      </c>
    </row>
    <row r="21" spans="1:5" s="9" customFormat="1" ht="12.75">
      <c r="A21" s="310" t="s">
        <v>1224</v>
      </c>
      <c r="B21" s="14">
        <f>+2am!Z18</f>
        <v>57260.182</v>
      </c>
      <c r="C21" s="14">
        <f>+2am!AA18</f>
        <v>57260</v>
      </c>
      <c r="D21" s="14">
        <f>2am!AB18</f>
        <v>1016538</v>
      </c>
      <c r="E21" s="2035">
        <f t="shared" si="0"/>
        <v>17.75302130632204</v>
      </c>
    </row>
    <row r="22" spans="1:5" s="9" customFormat="1" ht="12.75">
      <c r="A22" s="47" t="s">
        <v>1238</v>
      </c>
      <c r="B22" s="35">
        <f>SUM(B23:B24)</f>
        <v>200</v>
      </c>
      <c r="C22" s="35">
        <f>SUM(C23:C24)</f>
        <v>200</v>
      </c>
      <c r="D22" s="35">
        <f>SUM(D23:D24)</f>
        <v>0</v>
      </c>
      <c r="E22" s="2035">
        <f t="shared" si="0"/>
        <v>0</v>
      </c>
    </row>
    <row r="23" spans="1:5" s="9" customFormat="1" ht="12.75">
      <c r="A23" s="177" t="s">
        <v>1968</v>
      </c>
      <c r="B23" s="6">
        <f>5m!B15</f>
        <v>100</v>
      </c>
      <c r="C23" s="6">
        <f>5m!C15</f>
        <v>100</v>
      </c>
      <c r="D23" s="6">
        <f>5m!D15</f>
        <v>0</v>
      </c>
      <c r="E23" s="2035">
        <f t="shared" si="0"/>
        <v>0</v>
      </c>
    </row>
    <row r="24" spans="1:5" s="9" customFormat="1" ht="12.75">
      <c r="A24" s="177" t="s">
        <v>241</v>
      </c>
      <c r="B24" s="6">
        <f>5m!B19</f>
        <v>100</v>
      </c>
      <c r="C24" s="6">
        <f>5m!C19</f>
        <v>100</v>
      </c>
      <c r="D24" s="6">
        <f>5m!D19</f>
        <v>0</v>
      </c>
      <c r="E24" s="2035">
        <f t="shared" si="0"/>
        <v>0</v>
      </c>
    </row>
    <row r="25" spans="1:5" s="9" customFormat="1" ht="15.75">
      <c r="A25" s="180" t="s">
        <v>1375</v>
      </c>
      <c r="B25" s="182">
        <f>+B9+B19+B20+B22</f>
        <v>1419044.0765</v>
      </c>
      <c r="C25" s="182">
        <f>+C9+C19+C20+C22</f>
        <v>1462301.1</v>
      </c>
      <c r="D25" s="182">
        <f>+D9+D19+D20+D22</f>
        <v>2462897</v>
      </c>
      <c r="E25" s="2035">
        <f t="shared" si="0"/>
        <v>1.68426119627483</v>
      </c>
    </row>
    <row r="26" spans="1:5" s="9" customFormat="1" ht="1.5" customHeight="1">
      <c r="A26" s="823"/>
      <c r="B26" s="919"/>
      <c r="C26" s="918"/>
      <c r="D26" s="35"/>
      <c r="E26" s="2035" t="e">
        <f t="shared" si="0"/>
        <v>#DIV/0!</v>
      </c>
    </row>
    <row r="27" spans="1:5" s="9" customFormat="1" ht="0.75" customHeight="1">
      <c r="A27" s="823"/>
      <c r="B27" s="919"/>
      <c r="C27" s="918"/>
      <c r="D27" s="35"/>
      <c r="E27" s="2035" t="e">
        <f t="shared" si="0"/>
        <v>#DIV/0!</v>
      </c>
    </row>
    <row r="28" spans="1:5" ht="12.75">
      <c r="A28" s="11" t="s">
        <v>1184</v>
      </c>
      <c r="B28" s="50">
        <f>+1bm!B29</f>
        <v>56652</v>
      </c>
      <c r="C28" s="50">
        <f>1bm!C29</f>
        <v>56652</v>
      </c>
      <c r="D28" s="50">
        <f>1bm!D29</f>
        <v>81635</v>
      </c>
      <c r="E28" s="2035">
        <f t="shared" si="0"/>
        <v>1.4409906093341807</v>
      </c>
    </row>
    <row r="29" spans="1:5" ht="12.75">
      <c r="A29" s="11" t="s">
        <v>1963</v>
      </c>
      <c r="B29" s="50">
        <f>+B30+B31+B32+B35</f>
        <v>326979</v>
      </c>
      <c r="C29" s="50">
        <f>+C30+C31+C32+C35</f>
        <v>326979</v>
      </c>
      <c r="D29" s="50">
        <f>+D30+D31+D32+D35</f>
        <v>349316</v>
      </c>
      <c r="E29" s="2035">
        <f t="shared" si="0"/>
        <v>1.0683132555913377</v>
      </c>
    </row>
    <row r="30" spans="1:5" ht="12.75">
      <c r="A30" s="310" t="s">
        <v>1185</v>
      </c>
      <c r="B30" s="17">
        <v>0</v>
      </c>
      <c r="C30" s="17">
        <v>0</v>
      </c>
      <c r="D30" s="17">
        <v>0</v>
      </c>
      <c r="E30" s="2035">
        <v>0</v>
      </c>
    </row>
    <row r="31" spans="1:5" ht="12.75">
      <c r="A31" s="310" t="s">
        <v>1186</v>
      </c>
      <c r="B31" s="41">
        <f>1am!F30</f>
        <v>93400</v>
      </c>
      <c r="C31" s="41">
        <f>1am!G30</f>
        <v>93400</v>
      </c>
      <c r="D31" s="41">
        <f>1am!H30</f>
        <v>123778</v>
      </c>
      <c r="E31" s="2035">
        <f t="shared" si="0"/>
        <v>1.3252462526766595</v>
      </c>
    </row>
    <row r="32" spans="1:5" ht="12.75">
      <c r="A32" s="310" t="s">
        <v>1187</v>
      </c>
      <c r="B32" s="41">
        <f>+B33+B34</f>
        <v>200654</v>
      </c>
      <c r="C32" s="41">
        <f>1am!G31+1am!G32</f>
        <v>200654</v>
      </c>
      <c r="D32" s="41">
        <f>1am!H31+1am!H32</f>
        <v>202607</v>
      </c>
      <c r="E32" s="2035">
        <f t="shared" si="0"/>
        <v>1.0097331725258405</v>
      </c>
    </row>
    <row r="33" spans="1:5" s="915" customFormat="1" ht="12.75">
      <c r="A33" s="920" t="s">
        <v>1188</v>
      </c>
      <c r="B33" s="921">
        <f>1am!F31</f>
        <v>168654</v>
      </c>
      <c r="C33" s="41">
        <f>1am!G31</f>
        <v>168654</v>
      </c>
      <c r="D33" s="41">
        <f>1am!H31</f>
        <v>168654</v>
      </c>
      <c r="E33" s="2035">
        <f t="shared" si="0"/>
        <v>1</v>
      </c>
    </row>
    <row r="34" spans="1:5" ht="12.75">
      <c r="A34" s="916" t="s">
        <v>1189</v>
      </c>
      <c r="B34" s="41">
        <f>1am!F32</f>
        <v>32000</v>
      </c>
      <c r="C34" s="41">
        <f>1am!G32</f>
        <v>32000</v>
      </c>
      <c r="D34" s="41">
        <f>1am!H32</f>
        <v>33953</v>
      </c>
      <c r="E34" s="2035">
        <f t="shared" si="0"/>
        <v>1.06103125</v>
      </c>
    </row>
    <row r="35" spans="1:5" ht="12.75">
      <c r="A35" s="356" t="s">
        <v>1190</v>
      </c>
      <c r="B35" s="41">
        <f>+B36+B37+B38</f>
        <v>32925</v>
      </c>
      <c r="C35" s="41">
        <f>+C36+C37+C38</f>
        <v>32925</v>
      </c>
      <c r="D35" s="41">
        <f>+D36+D37+D38</f>
        <v>22931</v>
      </c>
      <c r="E35" s="2035">
        <f t="shared" si="0"/>
        <v>0.696461655277145</v>
      </c>
    </row>
    <row r="36" spans="1:5" ht="12.75">
      <c r="A36" s="916" t="s">
        <v>1191</v>
      </c>
      <c r="B36" s="41">
        <f>1am!F23</f>
        <v>0</v>
      </c>
      <c r="C36" s="41">
        <f>1am!G23</f>
        <v>0</v>
      </c>
      <c r="D36" s="41">
        <f>1am!H23</f>
        <v>157</v>
      </c>
      <c r="E36" s="2035">
        <v>0</v>
      </c>
    </row>
    <row r="37" spans="1:5" ht="12.75">
      <c r="A37" s="916" t="s">
        <v>1192</v>
      </c>
      <c r="B37" s="41">
        <f>1am!F33</f>
        <v>1500</v>
      </c>
      <c r="C37" s="41">
        <f>1am!G33</f>
        <v>1500</v>
      </c>
      <c r="D37" s="41">
        <f>1am!H33</f>
        <v>1584</v>
      </c>
      <c r="E37" s="2035">
        <f t="shared" si="0"/>
        <v>1.056</v>
      </c>
    </row>
    <row r="38" spans="1:5" ht="12.75">
      <c r="A38" s="916" t="s">
        <v>1193</v>
      </c>
      <c r="B38" s="41">
        <f>1am!F36</f>
        <v>31425</v>
      </c>
      <c r="C38" s="41">
        <f>1am!G36</f>
        <v>31425</v>
      </c>
      <c r="D38" s="41">
        <f>1am!H36+1am!H37</f>
        <v>21190</v>
      </c>
      <c r="E38" s="2035">
        <f t="shared" si="0"/>
        <v>0.6743038981702466</v>
      </c>
    </row>
    <row r="39" spans="1:5" ht="12.75">
      <c r="A39" s="47" t="s">
        <v>1223</v>
      </c>
      <c r="B39" s="50">
        <f>SUM(B40:B45)</f>
        <v>493709</v>
      </c>
      <c r="C39" s="50">
        <f>SUM(C40:C50)</f>
        <v>687616.64</v>
      </c>
      <c r="D39" s="50">
        <f>SUM(D40:D50)</f>
        <v>687616</v>
      </c>
      <c r="E39" s="2035">
        <f t="shared" si="0"/>
        <v>0.9999990692488187</v>
      </c>
    </row>
    <row r="40" spans="1:5" ht="12.75">
      <c r="A40" s="310" t="s">
        <v>1965</v>
      </c>
      <c r="B40" s="17">
        <f>1am!J39</f>
        <v>293943</v>
      </c>
      <c r="C40" s="6">
        <f>1am!K39</f>
        <v>289856</v>
      </c>
      <c r="D40" s="6">
        <f>1am!L39</f>
        <v>289856</v>
      </c>
      <c r="E40" s="2035">
        <f t="shared" si="0"/>
        <v>1</v>
      </c>
    </row>
    <row r="41" spans="1:5" ht="12.75">
      <c r="A41" s="310" t="s">
        <v>1194</v>
      </c>
      <c r="B41" s="17">
        <v>0</v>
      </c>
      <c r="C41" s="6">
        <f>0</f>
        <v>0</v>
      </c>
      <c r="D41" s="6">
        <f>0</f>
        <v>0</v>
      </c>
      <c r="E41" s="2035">
        <v>0</v>
      </c>
    </row>
    <row r="42" spans="1:5" ht="12.75">
      <c r="A42" s="310" t="s">
        <v>1195</v>
      </c>
      <c r="B42" s="17">
        <v>0</v>
      </c>
      <c r="C42" s="6">
        <v>0</v>
      </c>
      <c r="D42" s="6">
        <v>0</v>
      </c>
      <c r="E42" s="2035">
        <v>0</v>
      </c>
    </row>
    <row r="43" spans="1:5" ht="25.5">
      <c r="A43" s="917" t="s">
        <v>1196</v>
      </c>
      <c r="B43" s="743">
        <v>0</v>
      </c>
      <c r="C43" s="6">
        <v>0</v>
      </c>
      <c r="D43" s="6">
        <v>0</v>
      </c>
      <c r="E43" s="2035">
        <v>0</v>
      </c>
    </row>
    <row r="44" spans="1:5" ht="12.75">
      <c r="A44" s="310" t="s">
        <v>1206</v>
      </c>
      <c r="B44" s="17">
        <f>+1am!J40</f>
        <v>199766</v>
      </c>
      <c r="C44" s="6">
        <f>1am!K40</f>
        <v>142586</v>
      </c>
      <c r="D44" s="6">
        <f>1am!L40</f>
        <v>142586</v>
      </c>
      <c r="E44" s="2035">
        <f t="shared" si="0"/>
        <v>1</v>
      </c>
    </row>
    <row r="45" spans="1:5" ht="12.75" hidden="1">
      <c r="A45" s="310" t="s">
        <v>1744</v>
      </c>
      <c r="B45" s="17">
        <v>0</v>
      </c>
      <c r="C45" s="41"/>
      <c r="D45" s="35"/>
      <c r="E45" s="2035" t="e">
        <f t="shared" si="0"/>
        <v>#DIV/0!</v>
      </c>
    </row>
    <row r="46" spans="1:5" ht="12.75">
      <c r="A46" s="917" t="s">
        <v>1336</v>
      </c>
      <c r="B46" s="17">
        <v>0</v>
      </c>
      <c r="C46" s="41">
        <f>1am!K41</f>
        <v>17332.49</v>
      </c>
      <c r="D46" s="41">
        <f>1am!L41</f>
        <v>17332</v>
      </c>
      <c r="E46" s="2035">
        <f t="shared" si="0"/>
        <v>0.999971729393757</v>
      </c>
    </row>
    <row r="47" spans="1:5" ht="12.75">
      <c r="A47" s="917" t="s">
        <v>1337</v>
      </c>
      <c r="B47" s="17">
        <v>0</v>
      </c>
      <c r="C47" s="41">
        <f>1am!K42</f>
        <v>54294</v>
      </c>
      <c r="D47" s="41">
        <f>1am!L42</f>
        <v>54294</v>
      </c>
      <c r="E47" s="2035">
        <f t="shared" si="0"/>
        <v>1</v>
      </c>
    </row>
    <row r="48" spans="1:5" ht="12.75">
      <c r="A48" s="917" t="s">
        <v>1338</v>
      </c>
      <c r="B48" s="17">
        <v>0</v>
      </c>
      <c r="C48" s="41">
        <f>1am!K43</f>
        <v>25257.15</v>
      </c>
      <c r="D48" s="41">
        <f>1am!L43</f>
        <v>25257</v>
      </c>
      <c r="E48" s="2035">
        <f t="shared" si="0"/>
        <v>0.9999940610876523</v>
      </c>
    </row>
    <row r="49" spans="1:5" ht="12.75">
      <c r="A49" s="917" t="s">
        <v>1341</v>
      </c>
      <c r="B49" s="17">
        <v>0</v>
      </c>
      <c r="C49" s="6">
        <f>1am!K44</f>
        <v>156000</v>
      </c>
      <c r="D49" s="6">
        <f>1am!L44</f>
        <v>156000</v>
      </c>
      <c r="E49" s="2035">
        <f t="shared" si="0"/>
        <v>1</v>
      </c>
    </row>
    <row r="50" spans="1:5" ht="12.75">
      <c r="A50" s="917" t="s">
        <v>1352</v>
      </c>
      <c r="B50" s="17">
        <v>0</v>
      </c>
      <c r="C50" s="6">
        <f>1am!K45</f>
        <v>2291</v>
      </c>
      <c r="D50" s="6">
        <f>1am!L45</f>
        <v>2291</v>
      </c>
      <c r="E50" s="2035">
        <f t="shared" si="0"/>
        <v>1</v>
      </c>
    </row>
    <row r="51" spans="1:5" ht="12.75">
      <c r="A51" s="47" t="s">
        <v>1207</v>
      </c>
      <c r="B51" s="50">
        <f>SUM(B52:B55)</f>
        <v>298879.8412012686</v>
      </c>
      <c r="C51" s="50">
        <f>SUM(C52:C58)</f>
        <v>298880</v>
      </c>
      <c r="D51" s="50">
        <f>SUM(D52:D58)</f>
        <v>353458</v>
      </c>
      <c r="E51" s="2035">
        <f t="shared" si="0"/>
        <v>1.1826084047109209</v>
      </c>
    </row>
    <row r="52" spans="1:5" ht="12.75">
      <c r="A52" s="310" t="s">
        <v>1208</v>
      </c>
      <c r="B52" s="651">
        <f>1bm!N29</f>
        <v>294061.8412012686</v>
      </c>
      <c r="C52" s="41">
        <f>1bm!O29</f>
        <v>294062</v>
      </c>
      <c r="D52" s="41">
        <f>1bm!P29</f>
        <v>352277</v>
      </c>
      <c r="E52" s="2035">
        <f t="shared" si="0"/>
        <v>1.1979684556318055</v>
      </c>
    </row>
    <row r="53" spans="1:5" ht="12.75">
      <c r="A53" s="310" t="s">
        <v>1209</v>
      </c>
      <c r="B53" s="17">
        <f>1am!R57</f>
        <v>4818</v>
      </c>
      <c r="C53" s="41">
        <f>1am!S57</f>
        <v>4818</v>
      </c>
      <c r="D53" s="41">
        <f>1am!T57</f>
        <v>1181</v>
      </c>
      <c r="E53" s="2035">
        <f t="shared" si="0"/>
        <v>0.24512245745122457</v>
      </c>
    </row>
    <row r="54" spans="1:5" ht="25.5">
      <c r="A54" s="917" t="s">
        <v>1210</v>
      </c>
      <c r="B54" s="17">
        <v>0</v>
      </c>
      <c r="C54" s="41">
        <v>0</v>
      </c>
      <c r="D54" s="41">
        <v>0</v>
      </c>
      <c r="E54" s="2035">
        <v>0</v>
      </c>
    </row>
    <row r="55" spans="1:5" ht="12.75">
      <c r="A55" s="917" t="s">
        <v>1211</v>
      </c>
      <c r="B55" s="17">
        <v>0</v>
      </c>
      <c r="C55" s="41">
        <v>0</v>
      </c>
      <c r="D55" s="41">
        <v>0</v>
      </c>
      <c r="E55" s="2035">
        <v>0</v>
      </c>
    </row>
    <row r="56" spans="1:5" ht="12.75" hidden="1">
      <c r="A56" s="917"/>
      <c r="B56" s="17"/>
      <c r="C56" s="41"/>
      <c r="D56" s="35"/>
      <c r="E56" s="2035" t="e">
        <f t="shared" si="0"/>
        <v>#DIV/0!</v>
      </c>
    </row>
    <row r="57" spans="1:5" ht="12.75" hidden="1">
      <c r="A57" s="917"/>
      <c r="B57" s="17"/>
      <c r="C57" s="41"/>
      <c r="D57" s="35"/>
      <c r="E57" s="2035" t="e">
        <f t="shared" si="0"/>
        <v>#DIV/0!</v>
      </c>
    </row>
    <row r="58" spans="1:5" ht="12.75" hidden="1">
      <c r="A58" s="917"/>
      <c r="B58" s="17"/>
      <c r="C58" s="41"/>
      <c r="D58" s="35"/>
      <c r="E58" s="2035" t="e">
        <f t="shared" si="0"/>
        <v>#DIV/0!</v>
      </c>
    </row>
    <row r="59" spans="1:5" ht="12.75">
      <c r="A59" s="47" t="s">
        <v>282</v>
      </c>
      <c r="B59" s="17">
        <v>0</v>
      </c>
      <c r="C59" s="41">
        <v>0</v>
      </c>
      <c r="D59" s="35">
        <v>443</v>
      </c>
      <c r="E59" s="2035">
        <v>0</v>
      </c>
    </row>
    <row r="60" spans="1:5" ht="12.75">
      <c r="A60" s="11" t="s">
        <v>283</v>
      </c>
      <c r="B60" s="50">
        <f>SUM(B61:B62)</f>
        <v>242824.23529873136</v>
      </c>
      <c r="C60" s="50">
        <f>SUM(C61:C62)</f>
        <v>92173.46000000008</v>
      </c>
      <c r="D60" s="50">
        <f>SUM(D61:D62)</f>
        <v>889168</v>
      </c>
      <c r="E60" s="2035">
        <f t="shared" si="0"/>
        <v>9.646681376613174</v>
      </c>
    </row>
    <row r="61" spans="1:5" ht="25.5">
      <c r="A61" s="890" t="s">
        <v>1952</v>
      </c>
      <c r="B61" s="39">
        <f>pénzmaradvány!B20</f>
        <v>3021.3</v>
      </c>
      <c r="C61" s="39">
        <v>3021</v>
      </c>
      <c r="D61" s="39">
        <v>0</v>
      </c>
      <c r="E61" s="2035">
        <f t="shared" si="0"/>
        <v>0</v>
      </c>
    </row>
    <row r="62" spans="1:5" ht="12.75">
      <c r="A62" s="890" t="s">
        <v>484</v>
      </c>
      <c r="B62" s="39">
        <f>B25-B28-B29-B39-B51-B61</f>
        <v>239802.93529873138</v>
      </c>
      <c r="C62" s="39">
        <f>C25-C28-C29-C39-C51-C61</f>
        <v>89152.46000000008</v>
      </c>
      <c r="D62" s="39">
        <f>1am!X24</f>
        <v>889168</v>
      </c>
      <c r="E62" s="2035">
        <f t="shared" si="0"/>
        <v>9.973566629569158</v>
      </c>
    </row>
    <row r="63" spans="1:5" ht="15.75">
      <c r="A63" s="180" t="s">
        <v>1376</v>
      </c>
      <c r="B63" s="182">
        <f>+B28+B29+B39+B51+B60</f>
        <v>1419044.0765</v>
      </c>
      <c r="C63" s="182">
        <f>+C28+C29+C39+C51+C60</f>
        <v>1462301.1</v>
      </c>
      <c r="D63" s="182">
        <f>+D28+D29+D39+D51+D60+D59</f>
        <v>2361636</v>
      </c>
      <c r="E63" s="2035">
        <f t="shared" si="0"/>
        <v>1.6150134879882125</v>
      </c>
    </row>
    <row r="64" spans="1:3" ht="12.75">
      <c r="A64" s="2397"/>
      <c r="B64" s="2397"/>
      <c r="C64" s="2397"/>
    </row>
    <row r="67" spans="3:4" ht="12.75">
      <c r="C67" s="7"/>
      <c r="D67" s="7"/>
    </row>
    <row r="71" spans="3:4" ht="12.75">
      <c r="C71" s="7"/>
      <c r="D71" s="7"/>
    </row>
    <row r="72" ht="12.75">
      <c r="D72" s="7"/>
    </row>
    <row r="75" ht="12.75">
      <c r="C75" s="372"/>
    </row>
    <row r="76" spans="3:4" ht="12.75">
      <c r="C76" s="7"/>
      <c r="D76" s="7"/>
    </row>
  </sheetData>
  <sheetProtection/>
  <mergeCells count="5">
    <mergeCell ref="B1:E1"/>
    <mergeCell ref="A64:C64"/>
    <mergeCell ref="B7:C7"/>
    <mergeCell ref="A5:E5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2" r:id="rId1"/>
  <rowBreaks count="1" manualBreakCount="1">
    <brk id="63" max="1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SheetLayoutView="100" zoomScalePageLayoutView="0" workbookViewId="0" topLeftCell="A31">
      <pane xSplit="2" topLeftCell="C1" activePane="topRight" state="frozen"/>
      <selection pane="topLeft" activeCell="A1" sqref="A1"/>
      <selection pane="topRight" activeCell="U60" sqref="U60"/>
    </sheetView>
  </sheetViews>
  <sheetFormatPr defaultColWidth="9.140625" defaultRowHeight="12.75"/>
  <cols>
    <col min="1" max="1" width="3.28125" style="302" customWidth="1"/>
    <col min="2" max="2" width="32.421875" style="602" customWidth="1"/>
    <col min="3" max="3" width="13.8515625" style="470" customWidth="1"/>
    <col min="4" max="4" width="15.7109375" style="634" customWidth="1"/>
    <col min="5" max="5" width="9.28125" style="603" bestFit="1" customWidth="1"/>
    <col min="6" max="6" width="9.140625" style="470" bestFit="1" customWidth="1"/>
    <col min="7" max="7" width="9.28125" style="470" bestFit="1" customWidth="1"/>
    <col min="8" max="8" width="10.421875" style="470" bestFit="1" customWidth="1"/>
    <col min="9" max="9" width="9.140625" style="470" bestFit="1" customWidth="1"/>
    <col min="10" max="10" width="9.28125" style="470" bestFit="1" customWidth="1"/>
    <col min="11" max="12" width="9.140625" style="470" bestFit="1" customWidth="1"/>
    <col min="13" max="13" width="9.28125" style="470" bestFit="1" customWidth="1"/>
    <col min="14" max="14" width="10.8515625" style="470" bestFit="1" customWidth="1"/>
    <col min="15" max="16" width="9.140625" style="470" bestFit="1" customWidth="1"/>
    <col min="17" max="17" width="13.7109375" style="603" bestFit="1" customWidth="1"/>
    <col min="18" max="18" width="10.421875" style="470" customWidth="1"/>
    <col min="19" max="19" width="11.421875" style="639" bestFit="1" customWidth="1"/>
    <col min="20" max="20" width="10.28125" style="470" customWidth="1"/>
    <col min="21" max="21" width="19.7109375" style="470" bestFit="1" customWidth="1"/>
    <col min="22" max="22" width="6.57421875" style="470" bestFit="1" customWidth="1"/>
    <col min="23" max="23" width="9.8515625" style="470" customWidth="1"/>
    <col min="24" max="24" width="14.140625" style="470" customWidth="1"/>
    <col min="25" max="25" width="15.00390625" style="470" customWidth="1"/>
    <col min="26" max="26" width="10.8515625" style="302" customWidth="1"/>
    <col min="27" max="27" width="40.140625" style="302" bestFit="1" customWidth="1"/>
    <col min="28" max="16384" width="9.140625" style="302" customWidth="1"/>
  </cols>
  <sheetData>
    <row r="1" spans="1:27" ht="15.75" thickBot="1">
      <c r="A1" s="959" t="s">
        <v>1776</v>
      </c>
      <c r="B1" s="635" t="s">
        <v>619</v>
      </c>
      <c r="C1" s="695"/>
      <c r="D1" s="696" t="s">
        <v>91</v>
      </c>
      <c r="E1" s="611" t="s">
        <v>1485</v>
      </c>
      <c r="F1" s="697" t="s">
        <v>1486</v>
      </c>
      <c r="G1" s="697" t="s">
        <v>1487</v>
      </c>
      <c r="H1" s="697" t="s">
        <v>1488</v>
      </c>
      <c r="I1" s="697" t="s">
        <v>1489</v>
      </c>
      <c r="J1" s="697" t="s">
        <v>1490</v>
      </c>
      <c r="K1" s="697" t="s">
        <v>1491</v>
      </c>
      <c r="L1" s="697" t="s">
        <v>1492</v>
      </c>
      <c r="M1" s="697" t="s">
        <v>1493</v>
      </c>
      <c r="N1" s="697" t="s">
        <v>1494</v>
      </c>
      <c r="O1" s="697" t="s">
        <v>1495</v>
      </c>
      <c r="P1" s="697" t="s">
        <v>1496</v>
      </c>
      <c r="Q1" s="611" t="s">
        <v>1275</v>
      </c>
      <c r="R1" s="697" t="s">
        <v>25</v>
      </c>
      <c r="S1" s="697" t="s">
        <v>1403</v>
      </c>
      <c r="T1" s="697" t="s">
        <v>1281</v>
      </c>
      <c r="U1" s="697" t="s">
        <v>26</v>
      </c>
      <c r="V1" s="697" t="s">
        <v>652</v>
      </c>
      <c r="W1" s="697" t="s">
        <v>1975</v>
      </c>
      <c r="X1" s="697" t="s">
        <v>1277</v>
      </c>
      <c r="Y1" s="795"/>
      <c r="Z1" s="647" t="s">
        <v>322</v>
      </c>
      <c r="AA1" s="647" t="s">
        <v>651</v>
      </c>
    </row>
    <row r="2" spans="1:27" ht="15">
      <c r="A2" s="959" t="s">
        <v>587</v>
      </c>
      <c r="B2" s="304" t="s">
        <v>604</v>
      </c>
      <c r="C2" s="469" t="s">
        <v>618</v>
      </c>
      <c r="D2" s="966">
        <v>1410580</v>
      </c>
      <c r="E2" s="605">
        <v>143000</v>
      </c>
      <c r="F2" s="605">
        <v>143000</v>
      </c>
      <c r="G2" s="605">
        <v>143000</v>
      </c>
      <c r="H2" s="605">
        <v>143000</v>
      </c>
      <c r="I2" s="605">
        <v>150700</v>
      </c>
      <c r="J2" s="605">
        <v>150700</v>
      </c>
      <c r="K2" s="605">
        <v>150700</v>
      </c>
      <c r="L2" s="605">
        <v>150700</v>
      </c>
      <c r="M2" s="605">
        <v>150700</v>
      </c>
      <c r="N2" s="605">
        <v>150700</v>
      </c>
      <c r="O2" s="605">
        <v>150700</v>
      </c>
      <c r="P2" s="605">
        <v>150700</v>
      </c>
      <c r="Q2" s="612">
        <f aca="true" t="shared" si="0" ref="Q2:Q43">SUBTOTAL(9,E2:P2)</f>
        <v>1777600</v>
      </c>
      <c r="R2" s="605">
        <v>137280</v>
      </c>
      <c r="S2" s="605">
        <f>38650*0.15*12</f>
        <v>69570</v>
      </c>
      <c r="T2" s="605"/>
      <c r="U2" s="605"/>
      <c r="V2" s="605"/>
      <c r="W2" s="605"/>
      <c r="X2" s="783"/>
      <c r="Y2" s="796">
        <f aca="true" t="shared" si="1" ref="Y2:Y34">+Q2+R2+S2+T2+U2+V2+W2+X2</f>
        <v>1984450</v>
      </c>
      <c r="Z2" s="596">
        <v>150000</v>
      </c>
      <c r="AA2" s="950" t="s">
        <v>1497</v>
      </c>
    </row>
    <row r="3" spans="1:27" ht="15">
      <c r="A3" s="959" t="s">
        <v>588</v>
      </c>
      <c r="B3" s="304" t="s">
        <v>199</v>
      </c>
      <c r="C3" s="469" t="s">
        <v>612</v>
      </c>
      <c r="D3" s="963">
        <v>1430300</v>
      </c>
      <c r="E3" s="605">
        <v>94000</v>
      </c>
      <c r="F3" s="605">
        <v>108000</v>
      </c>
      <c r="G3" s="605">
        <v>108000</v>
      </c>
      <c r="H3" s="605">
        <v>108000</v>
      </c>
      <c r="I3" s="605">
        <v>108000</v>
      </c>
      <c r="J3" s="605">
        <v>108000</v>
      </c>
      <c r="K3" s="605">
        <v>108000</v>
      </c>
      <c r="L3" s="605">
        <v>108000</v>
      </c>
      <c r="M3" s="605">
        <v>108000</v>
      </c>
      <c r="N3" s="605">
        <v>108000</v>
      </c>
      <c r="O3" s="605">
        <v>108000</v>
      </c>
      <c r="P3" s="605">
        <v>108000</v>
      </c>
      <c r="Q3" s="612">
        <f t="shared" si="0"/>
        <v>1282000</v>
      </c>
      <c r="R3" s="605"/>
      <c r="S3" s="605"/>
      <c r="T3" s="605"/>
      <c r="U3" s="605"/>
      <c r="V3" s="605"/>
      <c r="W3" s="605"/>
      <c r="X3" s="783"/>
      <c r="Y3" s="797">
        <f t="shared" si="1"/>
        <v>1282000</v>
      </c>
      <c r="Z3" s="596">
        <v>150000</v>
      </c>
      <c r="AA3" s="950" t="s">
        <v>1976</v>
      </c>
    </row>
    <row r="4" spans="1:27" ht="15">
      <c r="A4" s="959"/>
      <c r="B4" s="853" t="s">
        <v>987</v>
      </c>
      <c r="C4" s="715" t="s">
        <v>612</v>
      </c>
      <c r="D4" s="967">
        <v>1410600</v>
      </c>
      <c r="E4" s="718"/>
      <c r="F4" s="718"/>
      <c r="G4" s="718">
        <f>150700</f>
        <v>150700</v>
      </c>
      <c r="H4" s="718">
        <v>150700</v>
      </c>
      <c r="I4" s="718">
        <v>150700</v>
      </c>
      <c r="J4" s="718">
        <v>150700</v>
      </c>
      <c r="K4" s="718">
        <v>150700</v>
      </c>
      <c r="L4" s="718">
        <v>150700</v>
      </c>
      <c r="M4" s="718">
        <v>150700</v>
      </c>
      <c r="N4" s="718">
        <v>150700</v>
      </c>
      <c r="O4" s="718">
        <v>150700</v>
      </c>
      <c r="P4" s="718">
        <v>150700</v>
      </c>
      <c r="Q4" s="717">
        <f t="shared" si="0"/>
        <v>1507000</v>
      </c>
      <c r="R4" s="718"/>
      <c r="S4" s="718">
        <v>231900</v>
      </c>
      <c r="T4" s="718"/>
      <c r="U4" s="718"/>
      <c r="V4" s="718"/>
      <c r="W4" s="718"/>
      <c r="X4" s="787"/>
      <c r="Y4" s="854">
        <f t="shared" si="1"/>
        <v>1738900</v>
      </c>
      <c r="Z4" s="596">
        <v>125000</v>
      </c>
      <c r="AA4" s="951"/>
    </row>
    <row r="5" spans="1:27" ht="15">
      <c r="A5" s="959" t="s">
        <v>589</v>
      </c>
      <c r="B5" s="304" t="s">
        <v>146</v>
      </c>
      <c r="C5" s="469" t="s">
        <v>613</v>
      </c>
      <c r="D5" s="963">
        <v>1421200</v>
      </c>
      <c r="E5" s="607">
        <v>110200</v>
      </c>
      <c r="F5" s="607">
        <v>110200</v>
      </c>
      <c r="G5" s="607">
        <v>110200</v>
      </c>
      <c r="H5" s="607">
        <v>110200</v>
      </c>
      <c r="I5" s="607">
        <v>110200</v>
      </c>
      <c r="J5" s="607">
        <v>110200</v>
      </c>
      <c r="K5" s="607">
        <v>110200</v>
      </c>
      <c r="L5" s="607">
        <v>110200</v>
      </c>
      <c r="M5" s="607">
        <v>111800</v>
      </c>
      <c r="N5" s="607">
        <v>112100</v>
      </c>
      <c r="O5" s="607">
        <v>112100</v>
      </c>
      <c r="P5" s="607">
        <v>112100</v>
      </c>
      <c r="Q5" s="613">
        <f t="shared" si="0"/>
        <v>1329700</v>
      </c>
      <c r="R5" s="607"/>
      <c r="S5" s="954"/>
      <c r="T5" s="607"/>
      <c r="U5" s="607"/>
      <c r="V5" s="607"/>
      <c r="W5" s="607"/>
      <c r="X5" s="784"/>
      <c r="Y5" s="797">
        <f t="shared" si="1"/>
        <v>1329700</v>
      </c>
      <c r="Z5" s="596">
        <v>150000</v>
      </c>
      <c r="AA5" s="950" t="s">
        <v>1499</v>
      </c>
    </row>
    <row r="6" spans="1:27" ht="15">
      <c r="A6" s="959" t="s">
        <v>1459</v>
      </c>
      <c r="B6" s="304" t="s">
        <v>607</v>
      </c>
      <c r="C6" s="469" t="s">
        <v>617</v>
      </c>
      <c r="D6" s="963">
        <v>1411100</v>
      </c>
      <c r="E6" s="605">
        <v>197100</v>
      </c>
      <c r="F6" s="605">
        <v>197100</v>
      </c>
      <c r="G6" s="605">
        <v>197100</v>
      </c>
      <c r="H6" s="605">
        <v>197100</v>
      </c>
      <c r="I6" s="605">
        <v>197100</v>
      </c>
      <c r="J6" s="605">
        <v>197100</v>
      </c>
      <c r="K6" s="605">
        <v>197100</v>
      </c>
      <c r="L6" s="605">
        <v>197100</v>
      </c>
      <c r="M6" s="605">
        <v>197100</v>
      </c>
      <c r="N6" s="605">
        <v>197100</v>
      </c>
      <c r="O6" s="605">
        <v>197100</v>
      </c>
      <c r="P6" s="605">
        <v>197100</v>
      </c>
      <c r="Q6" s="612">
        <f t="shared" si="0"/>
        <v>2365200</v>
      </c>
      <c r="R6" s="605"/>
      <c r="S6" s="605"/>
      <c r="T6" s="605"/>
      <c r="U6" s="605"/>
      <c r="V6" s="605"/>
      <c r="W6" s="605"/>
      <c r="X6" s="783"/>
      <c r="Y6" s="797">
        <f t="shared" si="1"/>
        <v>2365200</v>
      </c>
      <c r="Z6" s="596">
        <v>150000</v>
      </c>
      <c r="AA6" s="596"/>
    </row>
    <row r="7" spans="1:28" ht="15">
      <c r="A7" s="959" t="s">
        <v>1443</v>
      </c>
      <c r="B7" s="304" t="s">
        <v>147</v>
      </c>
      <c r="C7" s="469" t="s">
        <v>1285</v>
      </c>
      <c r="D7" s="963">
        <v>1430500</v>
      </c>
      <c r="E7" s="605">
        <v>96600</v>
      </c>
      <c r="F7" s="605">
        <v>108000</v>
      </c>
      <c r="G7" s="605">
        <v>108000</v>
      </c>
      <c r="H7" s="605">
        <v>108000</v>
      </c>
      <c r="I7" s="605">
        <v>108000</v>
      </c>
      <c r="J7" s="605">
        <v>108000</v>
      </c>
      <c r="K7" s="605">
        <v>108000</v>
      </c>
      <c r="L7" s="605">
        <v>108000</v>
      </c>
      <c r="M7" s="605">
        <v>108000</v>
      </c>
      <c r="N7" s="605">
        <v>108000</v>
      </c>
      <c r="O7" s="605">
        <v>108000</v>
      </c>
      <c r="P7" s="605">
        <v>108000</v>
      </c>
      <c r="Q7" s="612">
        <f t="shared" si="0"/>
        <v>1284600</v>
      </c>
      <c r="R7" s="605"/>
      <c r="S7" s="605"/>
      <c r="T7" s="605"/>
      <c r="U7" s="605"/>
      <c r="V7" s="605"/>
      <c r="W7" s="605"/>
      <c r="X7" s="783"/>
      <c r="Y7" s="797">
        <f t="shared" si="1"/>
        <v>1284600</v>
      </c>
      <c r="Z7" s="596">
        <v>150000</v>
      </c>
      <c r="AA7" s="600"/>
      <c r="AB7" s="983"/>
    </row>
    <row r="8" spans="1:28" s="720" customFormat="1" ht="15">
      <c r="A8" s="959" t="s">
        <v>1444</v>
      </c>
      <c r="B8" s="714" t="s">
        <v>107</v>
      </c>
      <c r="C8" s="715" t="s">
        <v>612</v>
      </c>
      <c r="D8" s="962">
        <v>1410500</v>
      </c>
      <c r="E8" s="716">
        <v>143000</v>
      </c>
      <c r="F8" s="716">
        <v>143000</v>
      </c>
      <c r="G8" s="716">
        <v>143000</v>
      </c>
      <c r="H8" s="716">
        <v>143000</v>
      </c>
      <c r="I8" s="716">
        <v>145600</v>
      </c>
      <c r="J8" s="716">
        <v>150700</v>
      </c>
      <c r="K8" s="716">
        <v>150700</v>
      </c>
      <c r="L8" s="716">
        <v>150700</v>
      </c>
      <c r="M8" s="716">
        <v>150700</v>
      </c>
      <c r="N8" s="716">
        <v>150700</v>
      </c>
      <c r="O8" s="716">
        <v>150700</v>
      </c>
      <c r="P8" s="716">
        <v>150700</v>
      </c>
      <c r="Q8" s="717">
        <f t="shared" si="0"/>
        <v>1772500</v>
      </c>
      <c r="R8" s="716"/>
      <c r="S8" s="718">
        <f>38650*0.6*12</f>
        <v>278280</v>
      </c>
      <c r="T8" s="716"/>
      <c r="U8" s="716"/>
      <c r="V8" s="716"/>
      <c r="W8" s="716"/>
      <c r="X8" s="785"/>
      <c r="Y8" s="854">
        <f t="shared" si="1"/>
        <v>2050780</v>
      </c>
      <c r="Z8" s="596">
        <v>150000</v>
      </c>
      <c r="AA8" s="951" t="s">
        <v>1498</v>
      </c>
      <c r="AB8" s="983"/>
    </row>
    <row r="9" spans="1:28" ht="15">
      <c r="A9" s="959" t="s">
        <v>1446</v>
      </c>
      <c r="B9" s="304" t="s">
        <v>1509</v>
      </c>
      <c r="C9" s="469" t="s">
        <v>614</v>
      </c>
      <c r="D9" s="966">
        <v>1400700</v>
      </c>
      <c r="E9" s="605">
        <v>270600</v>
      </c>
      <c r="F9" s="605">
        <v>270600</v>
      </c>
      <c r="G9" s="605">
        <v>270600</v>
      </c>
      <c r="H9" s="605">
        <v>270600</v>
      </c>
      <c r="I9" s="605">
        <v>270600</v>
      </c>
      <c r="J9" s="605">
        <v>270600</v>
      </c>
      <c r="K9" s="605">
        <v>270600</v>
      </c>
      <c r="L9" s="605">
        <v>270600</v>
      </c>
      <c r="M9" s="605">
        <v>270600</v>
      </c>
      <c r="N9" s="605">
        <v>270600</v>
      </c>
      <c r="O9" s="605">
        <v>270600</v>
      </c>
      <c r="P9" s="605">
        <v>270600</v>
      </c>
      <c r="Q9" s="612">
        <f t="shared" si="0"/>
        <v>3247200</v>
      </c>
      <c r="R9" s="605"/>
      <c r="S9" s="605">
        <f>23190*2*12</f>
        <v>556560</v>
      </c>
      <c r="T9" s="605"/>
      <c r="U9" s="605"/>
      <c r="V9" s="605"/>
      <c r="W9" s="605"/>
      <c r="X9" s="783"/>
      <c r="Y9" s="797">
        <f t="shared" si="1"/>
        <v>3803760</v>
      </c>
      <c r="Z9" s="596">
        <v>150000</v>
      </c>
      <c r="AA9" s="950"/>
      <c r="AB9" s="983"/>
    </row>
    <row r="10" spans="1:28" ht="15">
      <c r="A10" s="959" t="s">
        <v>1445</v>
      </c>
      <c r="B10" s="304" t="s">
        <v>1406</v>
      </c>
      <c r="C10" s="469" t="s">
        <v>609</v>
      </c>
      <c r="D10" s="963">
        <v>1411500</v>
      </c>
      <c r="E10" s="605">
        <v>220300</v>
      </c>
      <c r="F10" s="605">
        <v>220300</v>
      </c>
      <c r="G10" s="605">
        <v>220300</v>
      </c>
      <c r="H10" s="605">
        <v>220300</v>
      </c>
      <c r="I10" s="605">
        <v>220300</v>
      </c>
      <c r="J10" s="605">
        <v>220300</v>
      </c>
      <c r="K10" s="605">
        <v>220300</v>
      </c>
      <c r="L10" s="605">
        <v>224200</v>
      </c>
      <c r="M10" s="605">
        <v>224200</v>
      </c>
      <c r="N10" s="605">
        <v>224200</v>
      </c>
      <c r="O10" s="605">
        <v>224200</v>
      </c>
      <c r="P10" s="605">
        <v>224200</v>
      </c>
      <c r="Q10" s="612">
        <f t="shared" si="0"/>
        <v>2663100</v>
      </c>
      <c r="R10" s="605"/>
      <c r="S10" s="605"/>
      <c r="T10" s="605"/>
      <c r="U10" s="605"/>
      <c r="V10" s="605"/>
      <c r="W10" s="605"/>
      <c r="X10" s="783"/>
      <c r="Y10" s="797">
        <f t="shared" si="1"/>
        <v>2663100</v>
      </c>
      <c r="Z10" s="596">
        <v>150000</v>
      </c>
      <c r="AA10" s="950" t="s">
        <v>1500</v>
      </c>
      <c r="AB10" s="983"/>
    </row>
    <row r="11" spans="1:28" s="720" customFormat="1" ht="15">
      <c r="A11" s="959" t="s">
        <v>1447</v>
      </c>
      <c r="B11" s="725" t="s">
        <v>200</v>
      </c>
      <c r="C11" s="726" t="s">
        <v>610</v>
      </c>
      <c r="D11" s="962">
        <v>1410600</v>
      </c>
      <c r="E11" s="718">
        <v>150700</v>
      </c>
      <c r="F11" s="718">
        <v>150700</v>
      </c>
      <c r="G11" s="718">
        <v>150700</v>
      </c>
      <c r="H11" s="718">
        <v>150700</v>
      </c>
      <c r="I11" s="718">
        <v>150700</v>
      </c>
      <c r="J11" s="718">
        <v>150700</v>
      </c>
      <c r="K11" s="718">
        <v>150700</v>
      </c>
      <c r="L11" s="718">
        <v>150700</v>
      </c>
      <c r="M11" s="718">
        <v>150700</v>
      </c>
      <c r="N11" s="718">
        <v>150700</v>
      </c>
      <c r="O11" s="718">
        <v>150700</v>
      </c>
      <c r="P11" s="718">
        <v>150700</v>
      </c>
      <c r="Q11" s="717">
        <f t="shared" si="0"/>
        <v>1808400</v>
      </c>
      <c r="R11" s="718"/>
      <c r="S11" s="718">
        <f>38650*12</f>
        <v>463800</v>
      </c>
      <c r="T11" s="718"/>
      <c r="U11" s="718"/>
      <c r="V11" s="718"/>
      <c r="W11" s="718"/>
      <c r="X11" s="787"/>
      <c r="Y11" s="854">
        <f t="shared" si="1"/>
        <v>2272200</v>
      </c>
      <c r="Z11" s="596">
        <v>150000</v>
      </c>
      <c r="AA11" s="727"/>
      <c r="AB11" s="983"/>
    </row>
    <row r="12" spans="1:28" ht="15">
      <c r="A12" s="959" t="s">
        <v>1448</v>
      </c>
      <c r="B12" s="304" t="s">
        <v>149</v>
      </c>
      <c r="C12" s="469" t="s">
        <v>613</v>
      </c>
      <c r="D12" s="963">
        <v>1421700</v>
      </c>
      <c r="E12" s="605">
        <v>170100</v>
      </c>
      <c r="F12" s="605">
        <v>170100</v>
      </c>
      <c r="G12" s="605">
        <v>170100</v>
      </c>
      <c r="H12" s="605">
        <v>170100</v>
      </c>
      <c r="I12" s="605">
        <v>170100</v>
      </c>
      <c r="J12" s="605">
        <v>170100</v>
      </c>
      <c r="K12" s="605">
        <v>170100</v>
      </c>
      <c r="L12" s="605">
        <v>170100</v>
      </c>
      <c r="M12" s="605">
        <v>170100</v>
      </c>
      <c r="N12" s="605">
        <v>170100</v>
      </c>
      <c r="O12" s="605">
        <v>170100</v>
      </c>
      <c r="P12" s="605">
        <v>170100</v>
      </c>
      <c r="Q12" s="613">
        <f t="shared" si="0"/>
        <v>2041200</v>
      </c>
      <c r="R12" s="605"/>
      <c r="S12" s="605"/>
      <c r="T12" s="605"/>
      <c r="U12" s="605"/>
      <c r="V12" s="605"/>
      <c r="W12" s="605"/>
      <c r="X12" s="783"/>
      <c r="Y12" s="797">
        <f t="shared" si="1"/>
        <v>2041200</v>
      </c>
      <c r="Z12" s="596">
        <v>150000</v>
      </c>
      <c r="AA12" s="596"/>
      <c r="AB12" s="983"/>
    </row>
    <row r="13" spans="1:27" ht="15">
      <c r="A13" s="959" t="s">
        <v>1460</v>
      </c>
      <c r="B13" s="304" t="s">
        <v>611</v>
      </c>
      <c r="C13" s="469" t="s">
        <v>1285</v>
      </c>
      <c r="D13" s="963">
        <v>1430200</v>
      </c>
      <c r="E13" s="605">
        <v>94000</v>
      </c>
      <c r="F13" s="605">
        <v>108000</v>
      </c>
      <c r="G13" s="605">
        <v>108000</v>
      </c>
      <c r="H13" s="605">
        <v>108000</v>
      </c>
      <c r="I13" s="605">
        <v>108000</v>
      </c>
      <c r="J13" s="605">
        <v>108000</v>
      </c>
      <c r="K13" s="605">
        <v>108000</v>
      </c>
      <c r="L13" s="605">
        <v>108000</v>
      </c>
      <c r="M13" s="605">
        <v>108000</v>
      </c>
      <c r="N13" s="605">
        <v>108000</v>
      </c>
      <c r="O13" s="605">
        <v>108000</v>
      </c>
      <c r="P13" s="605">
        <v>108000</v>
      </c>
      <c r="Q13" s="612">
        <f t="shared" si="0"/>
        <v>1282000</v>
      </c>
      <c r="R13" s="605"/>
      <c r="S13" s="605"/>
      <c r="T13" s="605"/>
      <c r="U13" s="605"/>
      <c r="V13" s="605"/>
      <c r="W13" s="605"/>
      <c r="X13" s="783"/>
      <c r="Y13" s="797">
        <f t="shared" si="1"/>
        <v>1282000</v>
      </c>
      <c r="Z13" s="596">
        <v>150000</v>
      </c>
      <c r="AA13" s="596"/>
    </row>
    <row r="14" spans="1:27" ht="15">
      <c r="A14" s="959" t="s">
        <v>1461</v>
      </c>
      <c r="B14" s="988" t="s">
        <v>201</v>
      </c>
      <c r="C14" s="473" t="s">
        <v>616</v>
      </c>
      <c r="D14" s="964" t="s">
        <v>16</v>
      </c>
      <c r="E14" s="609">
        <v>483200</v>
      </c>
      <c r="F14" s="609">
        <v>483200</v>
      </c>
      <c r="G14" s="609">
        <v>483200</v>
      </c>
      <c r="H14" s="609">
        <v>483200</v>
      </c>
      <c r="I14" s="609">
        <v>483200</v>
      </c>
      <c r="J14" s="609">
        <v>483200</v>
      </c>
      <c r="K14" s="609">
        <v>483200</v>
      </c>
      <c r="L14" s="609">
        <v>483200</v>
      </c>
      <c r="M14" s="609">
        <v>483200</v>
      </c>
      <c r="N14" s="609">
        <v>483200</v>
      </c>
      <c r="O14" s="609">
        <v>483200</v>
      </c>
      <c r="P14" s="609">
        <v>483200</v>
      </c>
      <c r="Q14" s="612">
        <f t="shared" si="0"/>
        <v>5798400</v>
      </c>
      <c r="R14" s="609"/>
      <c r="S14" s="610"/>
      <c r="T14" s="609"/>
      <c r="U14" s="609"/>
      <c r="V14" s="609"/>
      <c r="W14" s="609"/>
      <c r="X14" s="788"/>
      <c r="Y14" s="797">
        <f t="shared" si="1"/>
        <v>5798400</v>
      </c>
      <c r="Z14" s="596">
        <v>150000</v>
      </c>
      <c r="AA14" s="596"/>
    </row>
    <row r="15" spans="1:27" ht="15">
      <c r="A15" s="959" t="s">
        <v>1462</v>
      </c>
      <c r="B15" s="303" t="s">
        <v>150</v>
      </c>
      <c r="C15" s="469" t="s">
        <v>610</v>
      </c>
      <c r="D15" s="963">
        <v>1421300</v>
      </c>
      <c r="E15" s="605">
        <v>112100</v>
      </c>
      <c r="F15" s="605">
        <v>112100</v>
      </c>
      <c r="G15" s="605">
        <v>112100</v>
      </c>
      <c r="H15" s="605">
        <v>112100</v>
      </c>
      <c r="I15" s="605">
        <v>112100</v>
      </c>
      <c r="J15" s="605">
        <v>112100</v>
      </c>
      <c r="K15" s="605">
        <v>112100</v>
      </c>
      <c r="L15" s="605">
        <v>112100</v>
      </c>
      <c r="M15" s="605">
        <v>112100</v>
      </c>
      <c r="N15" s="605">
        <v>112100</v>
      </c>
      <c r="O15" s="605">
        <v>112100</v>
      </c>
      <c r="P15" s="605">
        <v>127500</v>
      </c>
      <c r="Q15" s="612">
        <f t="shared" si="0"/>
        <v>1360600</v>
      </c>
      <c r="R15" s="605"/>
      <c r="S15" s="605"/>
      <c r="T15" s="605"/>
      <c r="U15" s="605"/>
      <c r="V15" s="605"/>
      <c r="W15" s="605">
        <f>N15*3</f>
        <v>336300</v>
      </c>
      <c r="X15" s="783"/>
      <c r="Y15" s="797">
        <f t="shared" si="1"/>
        <v>1696900</v>
      </c>
      <c r="Z15" s="596">
        <v>150000</v>
      </c>
      <c r="AA15" s="600" t="s">
        <v>665</v>
      </c>
    </row>
    <row r="16" spans="1:27" ht="15">
      <c r="A16" s="959" t="s">
        <v>1463</v>
      </c>
      <c r="B16" s="303" t="s">
        <v>1501</v>
      </c>
      <c r="C16" s="469" t="s">
        <v>614</v>
      </c>
      <c r="D16" s="966">
        <v>1410200</v>
      </c>
      <c r="E16" s="605">
        <v>123700</v>
      </c>
      <c r="F16" s="605">
        <v>123700</v>
      </c>
      <c r="G16" s="605">
        <v>123700</v>
      </c>
      <c r="H16" s="605">
        <v>125600</v>
      </c>
      <c r="I16" s="605">
        <v>127500</v>
      </c>
      <c r="J16" s="605">
        <v>127500</v>
      </c>
      <c r="K16" s="605">
        <v>127500</v>
      </c>
      <c r="L16" s="605">
        <v>127500</v>
      </c>
      <c r="M16" s="605">
        <v>127500</v>
      </c>
      <c r="N16" s="605">
        <v>127500</v>
      </c>
      <c r="O16" s="605">
        <v>127500</v>
      </c>
      <c r="P16" s="605">
        <v>127500</v>
      </c>
      <c r="Q16" s="612">
        <f t="shared" si="0"/>
        <v>1516700</v>
      </c>
      <c r="R16" s="605"/>
      <c r="S16" s="605">
        <f>38650*0.6*12</f>
        <v>278280</v>
      </c>
      <c r="T16" s="605"/>
      <c r="U16" s="605"/>
      <c r="V16" s="605"/>
      <c r="W16" s="605"/>
      <c r="X16" s="783"/>
      <c r="Y16" s="797">
        <f t="shared" si="1"/>
        <v>1794980</v>
      </c>
      <c r="Z16" s="596">
        <v>150000</v>
      </c>
      <c r="AA16" s="600" t="s">
        <v>1502</v>
      </c>
    </row>
    <row r="17" spans="1:27" ht="15">
      <c r="A17" s="959" t="s">
        <v>1464</v>
      </c>
      <c r="B17" s="304" t="s">
        <v>1458</v>
      </c>
      <c r="C17" s="469" t="s">
        <v>614</v>
      </c>
      <c r="D17" s="966">
        <v>1421500</v>
      </c>
      <c r="E17" s="605">
        <v>154600</v>
      </c>
      <c r="F17" s="605">
        <v>154600</v>
      </c>
      <c r="G17" s="605">
        <v>154600</v>
      </c>
      <c r="H17" s="605">
        <v>154600</v>
      </c>
      <c r="I17" s="605">
        <v>154600</v>
      </c>
      <c r="J17" s="605">
        <v>154600</v>
      </c>
      <c r="K17" s="605">
        <v>154600</v>
      </c>
      <c r="L17" s="605">
        <v>154600</v>
      </c>
      <c r="M17" s="605">
        <v>154600</v>
      </c>
      <c r="N17" s="605">
        <v>154600</v>
      </c>
      <c r="O17" s="605">
        <v>154600</v>
      </c>
      <c r="P17" s="605">
        <v>154600</v>
      </c>
      <c r="Q17" s="612">
        <f t="shared" si="0"/>
        <v>1855200</v>
      </c>
      <c r="R17" s="605"/>
      <c r="S17" s="605"/>
      <c r="T17" s="605"/>
      <c r="U17" s="605"/>
      <c r="V17" s="605"/>
      <c r="W17" s="605"/>
      <c r="X17" s="783"/>
      <c r="Y17" s="797">
        <f t="shared" si="1"/>
        <v>1855200</v>
      </c>
      <c r="Z17" s="596">
        <v>150000</v>
      </c>
      <c r="AA17" s="636"/>
    </row>
    <row r="18" spans="1:27" ht="15">
      <c r="A18" s="959" t="s">
        <v>1465</v>
      </c>
      <c r="B18" s="304" t="s">
        <v>151</v>
      </c>
      <c r="C18" s="472" t="s">
        <v>613</v>
      </c>
      <c r="D18" s="968">
        <v>1421500</v>
      </c>
      <c r="E18" s="608">
        <v>154600</v>
      </c>
      <c r="F18" s="608">
        <v>154600</v>
      </c>
      <c r="G18" s="608">
        <v>154600</v>
      </c>
      <c r="H18" s="608">
        <v>154600</v>
      </c>
      <c r="I18" s="608">
        <v>154600</v>
      </c>
      <c r="J18" s="608">
        <v>154600</v>
      </c>
      <c r="K18" s="608">
        <v>154600</v>
      </c>
      <c r="L18" s="608">
        <v>158800</v>
      </c>
      <c r="M18" s="608">
        <v>162300</v>
      </c>
      <c r="N18" s="608">
        <v>162300</v>
      </c>
      <c r="O18" s="608">
        <v>162300</v>
      </c>
      <c r="P18" s="608">
        <v>162300</v>
      </c>
      <c r="Q18" s="613">
        <f t="shared" si="0"/>
        <v>1890200</v>
      </c>
      <c r="R18" s="608"/>
      <c r="S18" s="608"/>
      <c r="T18" s="608"/>
      <c r="U18" s="608"/>
      <c r="V18" s="608"/>
      <c r="W18" s="608"/>
      <c r="X18" s="789"/>
      <c r="Y18" s="797">
        <f t="shared" si="1"/>
        <v>1890200</v>
      </c>
      <c r="Z18" s="596">
        <v>150000</v>
      </c>
      <c r="AA18" s="950" t="s">
        <v>1503</v>
      </c>
    </row>
    <row r="19" spans="1:27" ht="15">
      <c r="A19" s="959" t="s">
        <v>1466</v>
      </c>
      <c r="B19" s="304" t="s">
        <v>1504</v>
      </c>
      <c r="C19" s="469" t="s">
        <v>612</v>
      </c>
      <c r="D19" s="968">
        <v>1410600</v>
      </c>
      <c r="E19" s="608">
        <v>150700</v>
      </c>
      <c r="F19" s="608">
        <v>150700</v>
      </c>
      <c r="G19" s="608">
        <v>150700</v>
      </c>
      <c r="H19" s="608">
        <v>150700</v>
      </c>
      <c r="I19" s="608">
        <v>150700</v>
      </c>
      <c r="J19" s="608">
        <v>150700</v>
      </c>
      <c r="K19" s="608">
        <v>150700</v>
      </c>
      <c r="L19" s="608">
        <v>150700</v>
      </c>
      <c r="M19" s="608">
        <v>150700</v>
      </c>
      <c r="N19" s="608">
        <v>150700</v>
      </c>
      <c r="O19" s="608">
        <v>150700</v>
      </c>
      <c r="P19" s="608">
        <v>150700</v>
      </c>
      <c r="Q19" s="613">
        <f t="shared" si="0"/>
        <v>1808400</v>
      </c>
      <c r="R19" s="608"/>
      <c r="S19" s="608">
        <f>38650*12</f>
        <v>463800</v>
      </c>
      <c r="T19" s="608"/>
      <c r="U19" s="608"/>
      <c r="V19" s="608"/>
      <c r="W19" s="608"/>
      <c r="X19" s="789"/>
      <c r="Y19" s="797">
        <f t="shared" si="1"/>
        <v>2272200</v>
      </c>
      <c r="Z19" s="596">
        <v>150000</v>
      </c>
      <c r="AA19" s="950"/>
    </row>
    <row r="20" spans="1:27" ht="15">
      <c r="A20" s="959" t="s">
        <v>1467</v>
      </c>
      <c r="B20" s="304" t="s">
        <v>152</v>
      </c>
      <c r="C20" s="469" t="s">
        <v>614</v>
      </c>
      <c r="D20" s="966">
        <v>1421000</v>
      </c>
      <c r="E20" s="605">
        <v>104400</v>
      </c>
      <c r="F20" s="605">
        <v>108000</v>
      </c>
      <c r="G20" s="605">
        <v>108000</v>
      </c>
      <c r="H20" s="605">
        <v>108000</v>
      </c>
      <c r="I20" s="605">
        <v>108000</v>
      </c>
      <c r="J20" s="605">
        <v>108000</v>
      </c>
      <c r="K20" s="605">
        <v>108000</v>
      </c>
      <c r="L20" s="605">
        <v>108000</v>
      </c>
      <c r="M20" s="605">
        <v>108000</v>
      </c>
      <c r="N20" s="605">
        <v>108000</v>
      </c>
      <c r="O20" s="605">
        <v>108000</v>
      </c>
      <c r="P20" s="605">
        <v>108000</v>
      </c>
      <c r="Q20" s="612">
        <f t="shared" si="0"/>
        <v>1292400</v>
      </c>
      <c r="R20" s="605"/>
      <c r="S20" s="605"/>
      <c r="T20" s="605"/>
      <c r="U20" s="605"/>
      <c r="V20" s="605"/>
      <c r="W20" s="605"/>
      <c r="X20" s="783"/>
      <c r="Y20" s="797">
        <f t="shared" si="1"/>
        <v>1292400</v>
      </c>
      <c r="Z20" s="596">
        <v>150000</v>
      </c>
      <c r="AA20" s="600"/>
    </row>
    <row r="21" spans="1:27" ht="15">
      <c r="A21" s="959" t="s">
        <v>1468</v>
      </c>
      <c r="B21" s="304" t="s">
        <v>153</v>
      </c>
      <c r="C21" s="469" t="s">
        <v>608</v>
      </c>
      <c r="D21" s="966">
        <v>1421400</v>
      </c>
      <c r="E21" s="605">
        <v>127500</v>
      </c>
      <c r="F21" s="605">
        <v>127500</v>
      </c>
      <c r="G21" s="605">
        <v>127500</v>
      </c>
      <c r="H21" s="605">
        <v>127500</v>
      </c>
      <c r="I21" s="605">
        <v>127500</v>
      </c>
      <c r="J21" s="605">
        <v>127500</v>
      </c>
      <c r="K21" s="605">
        <v>127500</v>
      </c>
      <c r="L21" s="605">
        <v>127500</v>
      </c>
      <c r="M21" s="605">
        <v>127500</v>
      </c>
      <c r="N21" s="605">
        <v>127500</v>
      </c>
      <c r="O21" s="605">
        <v>127500</v>
      </c>
      <c r="P21" s="605">
        <v>127500</v>
      </c>
      <c r="Q21" s="612">
        <f t="shared" si="0"/>
        <v>1530000</v>
      </c>
      <c r="R21" s="605"/>
      <c r="S21" s="605"/>
      <c r="T21" s="605"/>
      <c r="U21" s="605"/>
      <c r="V21" s="605"/>
      <c r="W21" s="605"/>
      <c r="X21" s="783"/>
      <c r="Y21" s="797">
        <f t="shared" si="1"/>
        <v>1530000</v>
      </c>
      <c r="Z21" s="596">
        <v>150000</v>
      </c>
      <c r="AA21" s="600"/>
    </row>
    <row r="22" spans="1:27" ht="15">
      <c r="A22" s="959" t="s">
        <v>1793</v>
      </c>
      <c r="B22" s="304" t="s">
        <v>1808</v>
      </c>
      <c r="C22" s="469" t="s">
        <v>612</v>
      </c>
      <c r="D22" s="966">
        <v>1410700</v>
      </c>
      <c r="E22" s="605">
        <v>162300</v>
      </c>
      <c r="F22" s="605">
        <v>162300</v>
      </c>
      <c r="G22" s="605">
        <v>162300</v>
      </c>
      <c r="H22" s="605">
        <v>162300</v>
      </c>
      <c r="I22" s="605">
        <v>162300</v>
      </c>
      <c r="J22" s="605">
        <v>162300</v>
      </c>
      <c r="K22" s="605">
        <v>162300</v>
      </c>
      <c r="L22" s="605">
        <v>162300</v>
      </c>
      <c r="M22" s="605">
        <v>162300</v>
      </c>
      <c r="N22" s="605">
        <v>162300</v>
      </c>
      <c r="O22" s="605">
        <v>162300</v>
      </c>
      <c r="P22" s="605">
        <v>170100</v>
      </c>
      <c r="Q22" s="612">
        <f t="shared" si="0"/>
        <v>1955400</v>
      </c>
      <c r="R22" s="605"/>
      <c r="S22" s="605">
        <f>38650*0.6*12</f>
        <v>278280</v>
      </c>
      <c r="T22" s="605"/>
      <c r="U22" s="605"/>
      <c r="V22" s="605"/>
      <c r="W22" s="605"/>
      <c r="X22" s="783"/>
      <c r="Y22" s="797">
        <f t="shared" si="1"/>
        <v>2233680</v>
      </c>
      <c r="Z22" s="596">
        <v>150000</v>
      </c>
      <c r="AA22" s="952" t="s">
        <v>1505</v>
      </c>
    </row>
    <row r="23" spans="1:27" ht="15">
      <c r="A23" s="959" t="s">
        <v>1777</v>
      </c>
      <c r="B23" s="1002" t="s">
        <v>1162</v>
      </c>
      <c r="C23" s="469" t="s">
        <v>1285</v>
      </c>
      <c r="D23" s="966">
        <v>1421000</v>
      </c>
      <c r="E23" s="605">
        <v>104400</v>
      </c>
      <c r="F23" s="605">
        <f>108000+147200</f>
        <v>255200</v>
      </c>
      <c r="G23" s="605">
        <v>110200</v>
      </c>
      <c r="H23" s="605">
        <v>110200</v>
      </c>
      <c r="I23" s="605">
        <v>110200</v>
      </c>
      <c r="J23" s="605">
        <v>110200</v>
      </c>
      <c r="K23" s="605">
        <v>110200</v>
      </c>
      <c r="L23" s="605">
        <v>110200</v>
      </c>
      <c r="M23" s="605">
        <v>110200</v>
      </c>
      <c r="N23" s="605">
        <v>110200</v>
      </c>
      <c r="O23" s="605">
        <v>110200</v>
      </c>
      <c r="P23" s="605">
        <v>110200</v>
      </c>
      <c r="Q23" s="612">
        <f t="shared" si="0"/>
        <v>1461600</v>
      </c>
      <c r="R23" s="605"/>
      <c r="S23" s="605"/>
      <c r="T23" s="605"/>
      <c r="U23" s="605"/>
      <c r="V23" s="605"/>
      <c r="W23" s="605"/>
      <c r="X23" s="783"/>
      <c r="Y23" s="797">
        <f t="shared" si="1"/>
        <v>1461600</v>
      </c>
      <c r="Z23" s="596">
        <v>150000</v>
      </c>
      <c r="AA23" s="596"/>
    </row>
    <row r="24" spans="1:27" ht="15">
      <c r="A24" s="959" t="s">
        <v>1795</v>
      </c>
      <c r="B24" s="304" t="s">
        <v>1809</v>
      </c>
      <c r="C24" s="469" t="s">
        <v>617</v>
      </c>
      <c r="D24" s="966">
        <v>1411000</v>
      </c>
      <c r="E24" s="605">
        <v>185500</v>
      </c>
      <c r="F24" s="605">
        <v>185500</v>
      </c>
      <c r="G24" s="605">
        <v>185500</v>
      </c>
      <c r="H24" s="605">
        <v>185500</v>
      </c>
      <c r="I24" s="605">
        <v>185500</v>
      </c>
      <c r="J24" s="605">
        <v>185500</v>
      </c>
      <c r="K24" s="605">
        <v>185500</v>
      </c>
      <c r="L24" s="605">
        <v>185500</v>
      </c>
      <c r="M24" s="605">
        <v>185500</v>
      </c>
      <c r="N24" s="605">
        <v>185500</v>
      </c>
      <c r="O24" s="605">
        <v>185500</v>
      </c>
      <c r="P24" s="605">
        <v>185500</v>
      </c>
      <c r="Q24" s="612">
        <f t="shared" si="0"/>
        <v>2226000</v>
      </c>
      <c r="R24" s="605"/>
      <c r="S24" s="605"/>
      <c r="T24" s="605"/>
      <c r="U24" s="605"/>
      <c r="V24" s="605"/>
      <c r="W24" s="605"/>
      <c r="X24" s="783"/>
      <c r="Y24" s="797">
        <f t="shared" si="1"/>
        <v>2226000</v>
      </c>
      <c r="Z24" s="596">
        <v>150000</v>
      </c>
      <c r="AA24" s="950" t="s">
        <v>1507</v>
      </c>
    </row>
    <row r="25" spans="1:28" s="720" customFormat="1" ht="15">
      <c r="A25" s="959" t="s">
        <v>1778</v>
      </c>
      <c r="B25" s="303" t="s">
        <v>154</v>
      </c>
      <c r="C25" s="469" t="s">
        <v>608</v>
      </c>
      <c r="D25" s="966">
        <v>1411700</v>
      </c>
      <c r="E25" s="605">
        <v>231900</v>
      </c>
      <c r="F25" s="605">
        <v>231900</v>
      </c>
      <c r="G25" s="605">
        <v>231900</v>
      </c>
      <c r="H25" s="605">
        <v>231900</v>
      </c>
      <c r="I25" s="605">
        <v>231900</v>
      </c>
      <c r="J25" s="605">
        <v>231900</v>
      </c>
      <c r="K25" s="605">
        <v>231900</v>
      </c>
      <c r="L25" s="605">
        <v>231900</v>
      </c>
      <c r="M25" s="605">
        <v>231900</v>
      </c>
      <c r="N25" s="605">
        <v>231900</v>
      </c>
      <c r="O25" s="605">
        <v>231900</v>
      </c>
      <c r="P25" s="605">
        <v>231900</v>
      </c>
      <c r="Q25" s="612">
        <f t="shared" si="0"/>
        <v>2782800</v>
      </c>
      <c r="R25" s="605"/>
      <c r="S25" s="605"/>
      <c r="T25" s="605"/>
      <c r="U25" s="605"/>
      <c r="V25" s="605"/>
      <c r="W25" s="605">
        <f>L25*5</f>
        <v>1159500</v>
      </c>
      <c r="X25" s="783"/>
      <c r="Y25" s="797">
        <f t="shared" si="1"/>
        <v>3942300</v>
      </c>
      <c r="Z25" s="596">
        <v>150000</v>
      </c>
      <c r="AA25" s="636" t="s">
        <v>1772</v>
      </c>
      <c r="AB25" s="983"/>
    </row>
    <row r="26" spans="1:28" ht="15">
      <c r="A26" s="959" t="s">
        <v>1779</v>
      </c>
      <c r="B26" s="953" t="s">
        <v>1480</v>
      </c>
      <c r="C26" s="473" t="s">
        <v>615</v>
      </c>
      <c r="D26" s="965">
        <v>1400400</v>
      </c>
      <c r="E26" s="610">
        <v>318900</v>
      </c>
      <c r="F26" s="610">
        <v>318900</v>
      </c>
      <c r="G26" s="610">
        <v>318900</v>
      </c>
      <c r="H26" s="610">
        <v>318900</v>
      </c>
      <c r="I26" s="610">
        <v>318900</v>
      </c>
      <c r="J26" s="610">
        <v>318900</v>
      </c>
      <c r="K26" s="610">
        <v>318900</v>
      </c>
      <c r="L26" s="610">
        <v>318900</v>
      </c>
      <c r="M26" s="610">
        <v>318900</v>
      </c>
      <c r="N26" s="610">
        <v>318900</v>
      </c>
      <c r="O26" s="610">
        <v>318900</v>
      </c>
      <c r="P26" s="610">
        <v>318900</v>
      </c>
      <c r="Q26" s="612">
        <f t="shared" si="0"/>
        <v>3826800</v>
      </c>
      <c r="R26" s="609">
        <f>Q26*0.2</f>
        <v>765360</v>
      </c>
      <c r="S26" s="610"/>
      <c r="T26" s="609"/>
      <c r="U26" s="609">
        <f>Q26*0.4</f>
        <v>1530720</v>
      </c>
      <c r="V26" s="609"/>
      <c r="W26" s="609">
        <f>H26*5</f>
        <v>1594500</v>
      </c>
      <c r="X26" s="788"/>
      <c r="Y26" s="797">
        <f t="shared" si="1"/>
        <v>7717380</v>
      </c>
      <c r="Z26" s="596">
        <v>150000</v>
      </c>
      <c r="AA26" s="950" t="s">
        <v>1773</v>
      </c>
      <c r="AB26" s="983"/>
    </row>
    <row r="27" spans="1:28" s="720" customFormat="1" ht="15">
      <c r="A27" s="959" t="s">
        <v>1780</v>
      </c>
      <c r="B27" s="721" t="s">
        <v>203</v>
      </c>
      <c r="C27" s="722" t="s">
        <v>612</v>
      </c>
      <c r="D27" s="967">
        <v>1410600</v>
      </c>
      <c r="E27" s="723">
        <v>150700</v>
      </c>
      <c r="F27" s="723">
        <v>150700</v>
      </c>
      <c r="G27" s="723">
        <v>150700</v>
      </c>
      <c r="H27" s="723">
        <v>150700</v>
      </c>
      <c r="I27" s="723">
        <v>150700</v>
      </c>
      <c r="J27" s="723">
        <v>150700</v>
      </c>
      <c r="K27" s="723">
        <v>150700</v>
      </c>
      <c r="L27" s="723">
        <v>150700</v>
      </c>
      <c r="M27" s="723">
        <v>150700</v>
      </c>
      <c r="N27" s="723">
        <v>150700</v>
      </c>
      <c r="O27" s="723">
        <v>150700</v>
      </c>
      <c r="P27" s="723">
        <v>150700</v>
      </c>
      <c r="Q27" s="717">
        <f t="shared" si="0"/>
        <v>1808400</v>
      </c>
      <c r="R27" s="723"/>
      <c r="S27" s="724">
        <f>38650*0.6*12</f>
        <v>278280</v>
      </c>
      <c r="T27" s="723"/>
      <c r="U27" s="723"/>
      <c r="V27" s="723"/>
      <c r="W27" s="723"/>
      <c r="X27" s="786"/>
      <c r="Y27" s="854">
        <f t="shared" si="1"/>
        <v>2086680</v>
      </c>
      <c r="Z27" s="596">
        <v>150000</v>
      </c>
      <c r="AA27" s="727"/>
      <c r="AB27" s="983"/>
    </row>
    <row r="28" spans="1:27" ht="15">
      <c r="A28" s="959" t="s">
        <v>1781</v>
      </c>
      <c r="B28" s="304" t="s">
        <v>1506</v>
      </c>
      <c r="C28" s="469" t="s">
        <v>617</v>
      </c>
      <c r="D28" s="966">
        <v>1411300</v>
      </c>
      <c r="E28" s="605">
        <v>204800</v>
      </c>
      <c r="F28" s="605">
        <v>204800</v>
      </c>
      <c r="G28" s="605">
        <v>204800</v>
      </c>
      <c r="H28" s="605">
        <v>204800</v>
      </c>
      <c r="I28" s="605">
        <v>204800</v>
      </c>
      <c r="J28" s="605">
        <v>204800</v>
      </c>
      <c r="K28" s="605">
        <v>204800</v>
      </c>
      <c r="L28" s="605">
        <v>204800</v>
      </c>
      <c r="M28" s="605">
        <v>204800</v>
      </c>
      <c r="N28" s="605">
        <v>204800</v>
      </c>
      <c r="O28" s="605">
        <v>204800</v>
      </c>
      <c r="P28" s="605">
        <v>204800</v>
      </c>
      <c r="Q28" s="612">
        <f t="shared" si="0"/>
        <v>2457600</v>
      </c>
      <c r="R28" s="605"/>
      <c r="S28" s="605"/>
      <c r="T28" s="605"/>
      <c r="U28" s="605"/>
      <c r="V28" s="605"/>
      <c r="W28" s="605">
        <f>M28*3</f>
        <v>614400</v>
      </c>
      <c r="X28" s="783"/>
      <c r="Y28" s="797">
        <f t="shared" si="1"/>
        <v>3072000</v>
      </c>
      <c r="Z28" s="596">
        <v>150000</v>
      </c>
      <c r="AA28" s="950" t="s">
        <v>1771</v>
      </c>
    </row>
    <row r="29" spans="1:27" ht="15">
      <c r="A29" s="959" t="s">
        <v>1782</v>
      </c>
      <c r="B29" s="721" t="s">
        <v>202</v>
      </c>
      <c r="C29" s="722" t="s">
        <v>612</v>
      </c>
      <c r="D29" s="967">
        <v>1400700</v>
      </c>
      <c r="E29" s="723">
        <v>270600</v>
      </c>
      <c r="F29" s="723">
        <v>270600</v>
      </c>
      <c r="G29" s="723">
        <v>270600</v>
      </c>
      <c r="H29" s="723">
        <v>270600</v>
      </c>
      <c r="I29" s="723">
        <v>270600</v>
      </c>
      <c r="J29" s="723">
        <v>270600</v>
      </c>
      <c r="K29" s="723">
        <v>270600</v>
      </c>
      <c r="L29" s="723">
        <v>270600</v>
      </c>
      <c r="M29" s="723">
        <v>270600</v>
      </c>
      <c r="N29" s="723">
        <v>270600</v>
      </c>
      <c r="O29" s="723">
        <v>270600</v>
      </c>
      <c r="P29" s="723">
        <v>270600</v>
      </c>
      <c r="Q29" s="717">
        <f t="shared" si="0"/>
        <v>3247200</v>
      </c>
      <c r="R29" s="723"/>
      <c r="S29" s="724"/>
      <c r="T29" s="723"/>
      <c r="U29" s="723"/>
      <c r="V29" s="723"/>
      <c r="W29" s="723"/>
      <c r="X29" s="786"/>
      <c r="Y29" s="854">
        <f t="shared" si="1"/>
        <v>3247200</v>
      </c>
      <c r="Z29" s="596">
        <v>150000</v>
      </c>
      <c r="AA29" s="719"/>
    </row>
    <row r="30" spans="1:27" s="305" customFormat="1" ht="15">
      <c r="A30" s="959" t="s">
        <v>1783</v>
      </c>
      <c r="B30" s="304" t="s">
        <v>605</v>
      </c>
      <c r="C30" s="469" t="s">
        <v>618</v>
      </c>
      <c r="D30" s="966">
        <v>1410300</v>
      </c>
      <c r="E30" s="605">
        <v>127500</v>
      </c>
      <c r="F30" s="605">
        <v>127500</v>
      </c>
      <c r="G30" s="605">
        <v>127500</v>
      </c>
      <c r="H30" s="605">
        <v>127500</v>
      </c>
      <c r="I30" s="605">
        <v>127500</v>
      </c>
      <c r="J30" s="605">
        <v>127500</v>
      </c>
      <c r="K30" s="605">
        <v>127500</v>
      </c>
      <c r="L30" s="605">
        <v>127500</v>
      </c>
      <c r="M30" s="605">
        <v>127500</v>
      </c>
      <c r="N30" s="605">
        <v>127500</v>
      </c>
      <c r="O30" s="605">
        <v>127500</v>
      </c>
      <c r="P30" s="605">
        <v>127500</v>
      </c>
      <c r="Q30" s="612">
        <f t="shared" si="0"/>
        <v>1530000</v>
      </c>
      <c r="R30" s="605">
        <v>306108</v>
      </c>
      <c r="S30" s="605">
        <f>38650*0.15*12</f>
        <v>69570</v>
      </c>
      <c r="T30" s="605"/>
      <c r="U30" s="605"/>
      <c r="V30" s="605"/>
      <c r="W30" s="605"/>
      <c r="X30" s="783"/>
      <c r="Y30" s="797">
        <f t="shared" si="1"/>
        <v>1905678</v>
      </c>
      <c r="Z30" s="596">
        <v>150000</v>
      </c>
      <c r="AA30" s="600"/>
    </row>
    <row r="31" spans="1:27" ht="15">
      <c r="A31" s="959" t="s">
        <v>1784</v>
      </c>
      <c r="B31" s="304" t="s">
        <v>155</v>
      </c>
      <c r="C31" s="469" t="s">
        <v>609</v>
      </c>
      <c r="D31" s="966">
        <v>1421700</v>
      </c>
      <c r="E31" s="605">
        <v>170100</v>
      </c>
      <c r="F31" s="605">
        <v>170100</v>
      </c>
      <c r="G31" s="605">
        <v>170100</v>
      </c>
      <c r="H31" s="605">
        <v>170100</v>
      </c>
      <c r="I31" s="605">
        <v>170100</v>
      </c>
      <c r="J31" s="605">
        <v>170100</v>
      </c>
      <c r="K31" s="605">
        <v>170100</v>
      </c>
      <c r="L31" s="605">
        <v>170100</v>
      </c>
      <c r="M31" s="605">
        <v>170100</v>
      </c>
      <c r="N31" s="605">
        <v>170100</v>
      </c>
      <c r="O31" s="605">
        <v>170100</v>
      </c>
      <c r="P31" s="605">
        <v>170100</v>
      </c>
      <c r="Q31" s="612">
        <f t="shared" si="0"/>
        <v>2041200</v>
      </c>
      <c r="R31" s="605"/>
      <c r="S31" s="605"/>
      <c r="T31" s="605"/>
      <c r="U31" s="605"/>
      <c r="V31" s="605"/>
      <c r="W31" s="605">
        <f>P31*5</f>
        <v>850500</v>
      </c>
      <c r="X31" s="783"/>
      <c r="Y31" s="797">
        <f t="shared" si="1"/>
        <v>2891700</v>
      </c>
      <c r="Z31" s="596">
        <v>150000</v>
      </c>
      <c r="AA31" s="636" t="s">
        <v>601</v>
      </c>
    </row>
    <row r="32" spans="1:27" ht="15">
      <c r="A32" s="959" t="s">
        <v>1785</v>
      </c>
      <c r="B32" s="304" t="s">
        <v>156</v>
      </c>
      <c r="C32" s="469" t="s">
        <v>609</v>
      </c>
      <c r="D32" s="966">
        <v>1420900</v>
      </c>
      <c r="E32" s="605">
        <v>102400</v>
      </c>
      <c r="F32" s="605">
        <v>108000</v>
      </c>
      <c r="G32" s="605">
        <v>108000</v>
      </c>
      <c r="H32" s="605">
        <v>108000</v>
      </c>
      <c r="I32" s="605">
        <v>108000</v>
      </c>
      <c r="J32" s="605">
        <v>108000</v>
      </c>
      <c r="K32" s="605">
        <v>108000</v>
      </c>
      <c r="L32" s="605">
        <v>108000</v>
      </c>
      <c r="M32" s="605">
        <v>108000</v>
      </c>
      <c r="N32" s="605">
        <v>108000</v>
      </c>
      <c r="O32" s="605">
        <v>108000</v>
      </c>
      <c r="P32" s="605">
        <v>108000</v>
      </c>
      <c r="Q32" s="612">
        <f t="shared" si="0"/>
        <v>1290400</v>
      </c>
      <c r="R32" s="605"/>
      <c r="S32" s="605"/>
      <c r="T32" s="605"/>
      <c r="U32" s="605"/>
      <c r="V32" s="605"/>
      <c r="W32" s="605"/>
      <c r="X32" s="783"/>
      <c r="Y32" s="797">
        <f t="shared" si="1"/>
        <v>1290400</v>
      </c>
      <c r="Z32" s="596">
        <v>150000</v>
      </c>
      <c r="AA32" s="598" t="s">
        <v>1508</v>
      </c>
    </row>
    <row r="33" spans="1:27" ht="15">
      <c r="A33" s="959" t="s">
        <v>1786</v>
      </c>
      <c r="B33" s="1001" t="s">
        <v>157</v>
      </c>
      <c r="C33" s="469" t="s">
        <v>614</v>
      </c>
      <c r="D33" s="966">
        <v>1421500</v>
      </c>
      <c r="E33" s="605">
        <v>154600</v>
      </c>
      <c r="F33" s="605">
        <v>154600</v>
      </c>
      <c r="G33" s="605">
        <v>154600</v>
      </c>
      <c r="H33" s="605">
        <v>154600</v>
      </c>
      <c r="I33" s="605">
        <v>154600</v>
      </c>
      <c r="J33" s="605">
        <v>154600</v>
      </c>
      <c r="K33" s="605">
        <v>154600</v>
      </c>
      <c r="L33" s="605">
        <v>154600</v>
      </c>
      <c r="M33" s="605">
        <v>154600</v>
      </c>
      <c r="N33" s="605">
        <v>157700</v>
      </c>
      <c r="O33" s="605">
        <v>162300</v>
      </c>
      <c r="P33" s="605">
        <v>162300</v>
      </c>
      <c r="Q33" s="612">
        <f t="shared" si="0"/>
        <v>1873700</v>
      </c>
      <c r="R33" s="605"/>
      <c r="S33" s="605"/>
      <c r="T33" s="605"/>
      <c r="U33" s="605"/>
      <c r="V33" s="605"/>
      <c r="W33" s="605">
        <f>H33*3</f>
        <v>463800</v>
      </c>
      <c r="X33" s="783"/>
      <c r="Y33" s="797">
        <f t="shared" si="1"/>
        <v>2337500</v>
      </c>
      <c r="Z33" s="596">
        <v>150000</v>
      </c>
      <c r="AA33" s="950" t="s">
        <v>1774</v>
      </c>
    </row>
    <row r="34" spans="1:27" ht="15">
      <c r="A34" s="959" t="s">
        <v>1787</v>
      </c>
      <c r="B34" s="304" t="s">
        <v>1163</v>
      </c>
      <c r="C34" s="469" t="s">
        <v>608</v>
      </c>
      <c r="D34" s="966">
        <v>1411200</v>
      </c>
      <c r="E34" s="605">
        <v>201000</v>
      </c>
      <c r="F34" s="605">
        <v>201000</v>
      </c>
      <c r="G34" s="605">
        <v>201000</v>
      </c>
      <c r="H34" s="605">
        <v>201000</v>
      </c>
      <c r="I34" s="605">
        <v>201000</v>
      </c>
      <c r="J34" s="605">
        <v>201000</v>
      </c>
      <c r="K34" s="605">
        <v>201000</v>
      </c>
      <c r="L34" s="605">
        <v>201000</v>
      </c>
      <c r="M34" s="605">
        <v>201000</v>
      </c>
      <c r="N34" s="605">
        <v>201000</v>
      </c>
      <c r="O34" s="605">
        <v>201000</v>
      </c>
      <c r="P34" s="605">
        <v>201000</v>
      </c>
      <c r="Q34" s="612">
        <f t="shared" si="0"/>
        <v>2412000</v>
      </c>
      <c r="R34" s="605"/>
      <c r="S34" s="605"/>
      <c r="T34" s="961"/>
      <c r="U34" s="605"/>
      <c r="V34" s="605"/>
      <c r="W34" s="605"/>
      <c r="X34" s="783"/>
      <c r="Y34" s="797">
        <f t="shared" si="1"/>
        <v>2412000</v>
      </c>
      <c r="Z34" s="596">
        <v>150000</v>
      </c>
      <c r="AA34" s="600"/>
    </row>
    <row r="35" spans="1:28" s="720" customFormat="1" ht="15">
      <c r="A35" s="959" t="s">
        <v>1788</v>
      </c>
      <c r="B35" s="304" t="s">
        <v>658</v>
      </c>
      <c r="C35" s="469" t="s">
        <v>614</v>
      </c>
      <c r="D35" s="966">
        <v>1421100</v>
      </c>
      <c r="E35" s="605">
        <v>108200</v>
      </c>
      <c r="F35" s="605">
        <v>108200</v>
      </c>
      <c r="G35" s="605">
        <v>108200</v>
      </c>
      <c r="H35" s="605">
        <v>108200</v>
      </c>
      <c r="I35" s="605">
        <v>108200</v>
      </c>
      <c r="J35" s="605">
        <v>108200</v>
      </c>
      <c r="K35" s="605">
        <v>108200</v>
      </c>
      <c r="L35" s="605">
        <v>108200</v>
      </c>
      <c r="M35" s="605">
        <v>108200</v>
      </c>
      <c r="N35" s="605">
        <v>108200</v>
      </c>
      <c r="O35" s="605">
        <v>108200</v>
      </c>
      <c r="P35" s="605">
        <v>108200</v>
      </c>
      <c r="Q35" s="612">
        <f t="shared" si="0"/>
        <v>1298400</v>
      </c>
      <c r="R35" s="605"/>
      <c r="S35" s="605"/>
      <c r="T35" s="605"/>
      <c r="U35" s="605"/>
      <c r="V35" s="605"/>
      <c r="W35" s="605">
        <f>N35*2</f>
        <v>216400</v>
      </c>
      <c r="X35" s="783"/>
      <c r="Y35" s="797">
        <f aca="true" t="shared" si="2" ref="Y35:Y57">+Q35+R35+S35+T35+U35+V35+W35+X35</f>
        <v>1514800</v>
      </c>
      <c r="Z35" s="596">
        <v>150000</v>
      </c>
      <c r="AA35" s="600" t="s">
        <v>664</v>
      </c>
      <c r="AB35" s="983"/>
    </row>
    <row r="36" spans="1:28" s="720" customFormat="1" ht="15">
      <c r="A36" s="959" t="s">
        <v>1789</v>
      </c>
      <c r="B36" s="304" t="s">
        <v>158</v>
      </c>
      <c r="C36" s="469" t="s">
        <v>1285</v>
      </c>
      <c r="D36" s="963">
        <v>1400400</v>
      </c>
      <c r="E36" s="605">
        <v>318900</v>
      </c>
      <c r="F36" s="605">
        <v>318900</v>
      </c>
      <c r="G36" s="605">
        <v>318900</v>
      </c>
      <c r="H36" s="605">
        <v>318900</v>
      </c>
      <c r="I36" s="605">
        <v>318900</v>
      </c>
      <c r="J36" s="605">
        <v>318900</v>
      </c>
      <c r="K36" s="605">
        <v>318900</v>
      </c>
      <c r="L36" s="605">
        <v>318900</v>
      </c>
      <c r="M36" s="605">
        <v>318900</v>
      </c>
      <c r="N36" s="605">
        <v>318900</v>
      </c>
      <c r="O36" s="605">
        <v>318900</v>
      </c>
      <c r="P36" s="605">
        <v>318900</v>
      </c>
      <c r="Q36" s="612">
        <f t="shared" si="0"/>
        <v>3826800</v>
      </c>
      <c r="R36" s="605">
        <f>+Q36*0.2</f>
        <v>765360</v>
      </c>
      <c r="S36" s="605"/>
      <c r="T36" s="597"/>
      <c r="U36" s="605">
        <f>17364*12</f>
        <v>208368</v>
      </c>
      <c r="V36" s="605"/>
      <c r="W36" s="605"/>
      <c r="X36" s="783"/>
      <c r="Y36" s="797">
        <f t="shared" si="2"/>
        <v>4800528</v>
      </c>
      <c r="Z36" s="596">
        <v>150000</v>
      </c>
      <c r="AA36" s="596"/>
      <c r="AB36" s="983"/>
    </row>
    <row r="37" spans="1:27" ht="15">
      <c r="A37" s="959" t="s">
        <v>1792</v>
      </c>
      <c r="B37" s="304" t="s">
        <v>620</v>
      </c>
      <c r="C37" s="469" t="s">
        <v>1285</v>
      </c>
      <c r="D37" s="966">
        <v>1421600</v>
      </c>
      <c r="E37" s="605">
        <v>162300</v>
      </c>
      <c r="F37" s="605">
        <v>162300</v>
      </c>
      <c r="G37" s="605">
        <v>162300</v>
      </c>
      <c r="H37" s="605">
        <v>162300</v>
      </c>
      <c r="I37" s="605">
        <v>165600</v>
      </c>
      <c r="J37" s="605">
        <v>170100</v>
      </c>
      <c r="K37" s="605">
        <v>170100</v>
      </c>
      <c r="L37" s="605">
        <v>170100</v>
      </c>
      <c r="M37" s="605">
        <v>170100</v>
      </c>
      <c r="N37" s="605">
        <v>170100</v>
      </c>
      <c r="O37" s="605">
        <v>170100</v>
      </c>
      <c r="P37" s="605">
        <v>170100</v>
      </c>
      <c r="Q37" s="612">
        <f t="shared" si="0"/>
        <v>2005500</v>
      </c>
      <c r="R37" s="605"/>
      <c r="S37" s="605"/>
      <c r="T37" s="605"/>
      <c r="U37" s="605"/>
      <c r="V37" s="605"/>
      <c r="W37" s="605">
        <f>I37*4</f>
        <v>662400</v>
      </c>
      <c r="X37" s="783"/>
      <c r="Y37" s="797">
        <f t="shared" si="2"/>
        <v>2667900</v>
      </c>
      <c r="Z37" s="596">
        <v>150000</v>
      </c>
      <c r="AA37" s="599" t="s">
        <v>1775</v>
      </c>
    </row>
    <row r="38" spans="1:27" ht="15">
      <c r="A38" s="959" t="s">
        <v>1790</v>
      </c>
      <c r="B38" s="853" t="s">
        <v>7</v>
      </c>
      <c r="C38" s="726" t="s">
        <v>612</v>
      </c>
      <c r="D38" s="969">
        <v>1420400</v>
      </c>
      <c r="E38" s="718">
        <v>94000</v>
      </c>
      <c r="F38" s="718">
        <v>108000</v>
      </c>
      <c r="G38" s="718">
        <v>108000</v>
      </c>
      <c r="H38" s="718">
        <v>108000</v>
      </c>
      <c r="I38" s="718">
        <v>108000</v>
      </c>
      <c r="J38" s="718">
        <v>108000</v>
      </c>
      <c r="K38" s="718">
        <v>108000</v>
      </c>
      <c r="L38" s="718">
        <v>108000</v>
      </c>
      <c r="M38" s="718">
        <v>108000</v>
      </c>
      <c r="N38" s="718">
        <v>108000</v>
      </c>
      <c r="O38" s="718">
        <v>108000</v>
      </c>
      <c r="P38" s="718">
        <v>108000</v>
      </c>
      <c r="Q38" s="717">
        <f t="shared" si="0"/>
        <v>1282000</v>
      </c>
      <c r="R38" s="718"/>
      <c r="S38" s="718"/>
      <c r="T38" s="718"/>
      <c r="U38" s="718"/>
      <c r="V38" s="718"/>
      <c r="W38" s="718"/>
      <c r="X38" s="787"/>
      <c r="Y38" s="854">
        <f t="shared" si="2"/>
        <v>1282000</v>
      </c>
      <c r="Z38" s="596">
        <v>150000</v>
      </c>
      <c r="AA38" s="719"/>
    </row>
    <row r="39" spans="1:27" ht="15">
      <c r="A39" s="959" t="s">
        <v>1791</v>
      </c>
      <c r="B39" s="304" t="s">
        <v>1985</v>
      </c>
      <c r="C39" s="469"/>
      <c r="D39" s="966">
        <v>1410600</v>
      </c>
      <c r="E39" s="605">
        <v>150700</v>
      </c>
      <c r="F39" s="605">
        <v>150700</v>
      </c>
      <c r="G39" s="605">
        <v>150700</v>
      </c>
      <c r="H39" s="605">
        <v>150700</v>
      </c>
      <c r="I39" s="605">
        <v>150700</v>
      </c>
      <c r="J39" s="605">
        <v>150700</v>
      </c>
      <c r="K39" s="605">
        <v>150700</v>
      </c>
      <c r="L39" s="605">
        <v>157100</v>
      </c>
      <c r="M39" s="605">
        <v>162300</v>
      </c>
      <c r="N39" s="605">
        <v>162300</v>
      </c>
      <c r="O39" s="605">
        <v>162300</v>
      </c>
      <c r="P39" s="605">
        <v>162300</v>
      </c>
      <c r="Q39" s="612">
        <f t="shared" si="0"/>
        <v>1861200</v>
      </c>
      <c r="R39" s="605"/>
      <c r="S39" s="605">
        <f>38650*0.6*12</f>
        <v>278280</v>
      </c>
      <c r="T39" s="605"/>
      <c r="U39" s="605"/>
      <c r="V39" s="718"/>
      <c r="W39" s="605"/>
      <c r="X39" s="783"/>
      <c r="Y39" s="797">
        <f t="shared" si="2"/>
        <v>2139480</v>
      </c>
      <c r="Z39" s="596">
        <v>150000</v>
      </c>
      <c r="AA39" s="956"/>
    </row>
    <row r="40" spans="1:27" ht="15">
      <c r="A40" s="959" t="s">
        <v>1794</v>
      </c>
      <c r="B40" s="304" t="s">
        <v>159</v>
      </c>
      <c r="C40" s="469" t="s">
        <v>609</v>
      </c>
      <c r="D40" s="966">
        <v>1421000</v>
      </c>
      <c r="E40" s="605">
        <v>102400</v>
      </c>
      <c r="F40" s="605">
        <v>108000</v>
      </c>
      <c r="G40" s="605">
        <v>108000</v>
      </c>
      <c r="H40" s="605">
        <v>108000</v>
      </c>
      <c r="I40" s="605">
        <v>108000</v>
      </c>
      <c r="J40" s="605">
        <v>108000</v>
      </c>
      <c r="K40" s="605">
        <v>108000</v>
      </c>
      <c r="L40" s="605">
        <v>108000</v>
      </c>
      <c r="M40" s="605">
        <v>108000</v>
      </c>
      <c r="N40" s="605">
        <v>108000</v>
      </c>
      <c r="O40" s="605">
        <v>108000</v>
      </c>
      <c r="P40" s="605">
        <v>108000</v>
      </c>
      <c r="Q40" s="612">
        <f t="shared" si="0"/>
        <v>1290400</v>
      </c>
      <c r="R40" s="605"/>
      <c r="S40" s="605"/>
      <c r="T40" s="605"/>
      <c r="U40" s="605"/>
      <c r="V40" s="605"/>
      <c r="W40" s="605"/>
      <c r="X40" s="783"/>
      <c r="Y40" s="797">
        <f t="shared" si="2"/>
        <v>1290400</v>
      </c>
      <c r="Z40" s="596">
        <v>150000</v>
      </c>
      <c r="AA40" s="600"/>
    </row>
    <row r="41" spans="1:27" ht="15">
      <c r="A41" s="959" t="s">
        <v>1796</v>
      </c>
      <c r="B41" s="304" t="s">
        <v>160</v>
      </c>
      <c r="C41" s="469" t="s">
        <v>610</v>
      </c>
      <c r="D41" s="966">
        <v>1400700</v>
      </c>
      <c r="E41" s="605">
        <v>270600</v>
      </c>
      <c r="F41" s="605">
        <v>270600</v>
      </c>
      <c r="G41" s="605">
        <v>270600</v>
      </c>
      <c r="H41" s="605">
        <v>270600</v>
      </c>
      <c r="I41" s="605">
        <v>270600</v>
      </c>
      <c r="J41" s="605">
        <v>270600</v>
      </c>
      <c r="K41" s="605">
        <v>270600</v>
      </c>
      <c r="L41" s="605">
        <v>270600</v>
      </c>
      <c r="M41" s="605">
        <v>270600</v>
      </c>
      <c r="N41" s="605">
        <v>270600</v>
      </c>
      <c r="O41" s="605">
        <v>270600</v>
      </c>
      <c r="P41" s="605">
        <v>270600</v>
      </c>
      <c r="Q41" s="612">
        <f t="shared" si="0"/>
        <v>3247200</v>
      </c>
      <c r="R41" s="605"/>
      <c r="S41" s="605">
        <f>38650*0.6*12</f>
        <v>278280</v>
      </c>
      <c r="T41" s="605"/>
      <c r="U41" s="605"/>
      <c r="V41" s="605"/>
      <c r="W41" s="605"/>
      <c r="X41" s="783"/>
      <c r="Y41" s="797">
        <f t="shared" si="2"/>
        <v>3525480</v>
      </c>
      <c r="Z41" s="596">
        <v>150000</v>
      </c>
      <c r="AA41" s="596"/>
    </row>
    <row r="42" spans="1:27" ht="15">
      <c r="A42" s="959" t="s">
        <v>1797</v>
      </c>
      <c r="B42" s="304" t="s">
        <v>1510</v>
      </c>
      <c r="C42" s="469" t="s">
        <v>608</v>
      </c>
      <c r="D42" s="966">
        <v>1400700</v>
      </c>
      <c r="E42" s="605">
        <v>270600</v>
      </c>
      <c r="F42" s="605">
        <v>270600</v>
      </c>
      <c r="G42" s="605">
        <v>270600</v>
      </c>
      <c r="H42" s="605">
        <v>270600</v>
      </c>
      <c r="I42" s="605">
        <v>270600</v>
      </c>
      <c r="J42" s="605">
        <v>270600</v>
      </c>
      <c r="K42" s="605">
        <v>270600</v>
      </c>
      <c r="L42" s="605">
        <v>270600</v>
      </c>
      <c r="M42" s="605">
        <v>270600</v>
      </c>
      <c r="N42" s="605">
        <v>270600</v>
      </c>
      <c r="O42" s="605">
        <v>270600</v>
      </c>
      <c r="P42" s="605">
        <v>270600</v>
      </c>
      <c r="Q42" s="612">
        <f t="shared" si="0"/>
        <v>3247200</v>
      </c>
      <c r="R42" s="605"/>
      <c r="S42" s="605">
        <f>38650*0.6*12</f>
        <v>278280</v>
      </c>
      <c r="T42" s="605"/>
      <c r="U42" s="605"/>
      <c r="V42" s="605"/>
      <c r="W42" s="605"/>
      <c r="X42" s="783"/>
      <c r="Y42" s="797">
        <f t="shared" si="2"/>
        <v>3525480</v>
      </c>
      <c r="Z42" s="596">
        <v>150000</v>
      </c>
      <c r="AA42" s="596"/>
    </row>
    <row r="43" spans="1:27" ht="15">
      <c r="A43" s="959" t="s">
        <v>1798</v>
      </c>
      <c r="B43" s="304" t="s">
        <v>8</v>
      </c>
      <c r="C43" s="469" t="s">
        <v>1285</v>
      </c>
      <c r="D43" s="966">
        <v>1410200</v>
      </c>
      <c r="E43" s="605">
        <v>123700</v>
      </c>
      <c r="F43" s="605">
        <v>123700</v>
      </c>
      <c r="G43" s="605">
        <v>123700</v>
      </c>
      <c r="H43" s="605">
        <v>123700</v>
      </c>
      <c r="I43" s="605">
        <v>123700</v>
      </c>
      <c r="J43" s="605">
        <v>123700</v>
      </c>
      <c r="K43" s="605">
        <v>123700</v>
      </c>
      <c r="L43" s="605">
        <v>123700</v>
      </c>
      <c r="M43" s="605">
        <v>125500</v>
      </c>
      <c r="N43" s="605">
        <v>127500</v>
      </c>
      <c r="O43" s="605">
        <v>127500</v>
      </c>
      <c r="P43" s="605">
        <v>127500</v>
      </c>
      <c r="Q43" s="612">
        <f t="shared" si="0"/>
        <v>1497600</v>
      </c>
      <c r="R43" s="605"/>
      <c r="S43" s="605"/>
      <c r="T43" s="605"/>
      <c r="U43" s="605"/>
      <c r="V43" s="605"/>
      <c r="W43" s="605"/>
      <c r="X43" s="783"/>
      <c r="Y43" s="797">
        <f t="shared" si="2"/>
        <v>1497600</v>
      </c>
      <c r="Z43" s="596">
        <v>150000</v>
      </c>
      <c r="AA43" s="596"/>
    </row>
    <row r="44" spans="1:27" ht="15">
      <c r="A44" s="959"/>
      <c r="B44" s="615" t="s">
        <v>1286</v>
      </c>
      <c r="C44" s="469"/>
      <c r="D44" s="630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12">
        <f aca="true" t="shared" si="3" ref="Q44:X44">SUM(Q2:Q43)</f>
        <v>87881800</v>
      </c>
      <c r="R44" s="612">
        <f t="shared" si="3"/>
        <v>1974108</v>
      </c>
      <c r="S44" s="612">
        <f t="shared" si="3"/>
        <v>3803160</v>
      </c>
      <c r="T44" s="612">
        <f t="shared" si="3"/>
        <v>0</v>
      </c>
      <c r="U44" s="612">
        <f t="shared" si="3"/>
        <v>1739088</v>
      </c>
      <c r="V44" s="612">
        <f t="shared" si="3"/>
        <v>0</v>
      </c>
      <c r="W44" s="612">
        <f t="shared" si="3"/>
        <v>5897800</v>
      </c>
      <c r="X44" s="612">
        <f t="shared" si="3"/>
        <v>0</v>
      </c>
      <c r="Y44" s="797">
        <f t="shared" si="2"/>
        <v>101295956</v>
      </c>
      <c r="Z44" s="596">
        <f>SUM(Z2:Z43)</f>
        <v>6275000</v>
      </c>
      <c r="AA44" s="596"/>
    </row>
    <row r="45" spans="1:27" ht="15">
      <c r="A45" s="959" t="s">
        <v>1799</v>
      </c>
      <c r="B45" s="601" t="s">
        <v>1279</v>
      </c>
      <c r="C45" s="597"/>
      <c r="D45" s="957" t="s">
        <v>659</v>
      </c>
      <c r="E45" s="607">
        <v>160000</v>
      </c>
      <c r="F45" s="607">
        <v>160000</v>
      </c>
      <c r="G45" s="607">
        <v>160000</v>
      </c>
      <c r="H45" s="607">
        <v>160000</v>
      </c>
      <c r="I45" s="607">
        <v>160000</v>
      </c>
      <c r="J45" s="607">
        <v>160000</v>
      </c>
      <c r="K45" s="607">
        <v>160000</v>
      </c>
      <c r="L45" s="607">
        <v>160000</v>
      </c>
      <c r="M45" s="607">
        <v>160000</v>
      </c>
      <c r="N45" s="607">
        <v>160000</v>
      </c>
      <c r="O45" s="607">
        <v>160000</v>
      </c>
      <c r="P45" s="607">
        <v>160000</v>
      </c>
      <c r="Q45" s="612">
        <f aca="true" t="shared" si="4" ref="Q45:Q56">SUBTOTAL(9,E45:P45)</f>
        <v>1920000</v>
      </c>
      <c r="R45" s="607"/>
      <c r="S45" s="610"/>
      <c r="T45" s="607"/>
      <c r="U45" s="607"/>
      <c r="V45" s="607"/>
      <c r="W45" s="607"/>
      <c r="X45" s="784"/>
      <c r="Y45" s="797">
        <f t="shared" si="2"/>
        <v>1920000</v>
      </c>
      <c r="Z45" s="596">
        <v>150000</v>
      </c>
      <c r="AA45" s="636"/>
    </row>
    <row r="46" spans="1:27" ht="15">
      <c r="A46" s="959"/>
      <c r="B46" s="635" t="s">
        <v>20</v>
      </c>
      <c r="C46" s="597"/>
      <c r="D46" s="632"/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  <c r="Q46" s="612">
        <f aca="true" t="shared" si="5" ref="Q46:X46">SUM(Q45)</f>
        <v>1920000</v>
      </c>
      <c r="R46" s="607">
        <f t="shared" si="5"/>
        <v>0</v>
      </c>
      <c r="S46" s="607">
        <f t="shared" si="5"/>
        <v>0</v>
      </c>
      <c r="T46" s="607">
        <f t="shared" si="5"/>
        <v>0</v>
      </c>
      <c r="U46" s="607">
        <f t="shared" si="5"/>
        <v>0</v>
      </c>
      <c r="V46" s="607">
        <f t="shared" si="5"/>
        <v>0</v>
      </c>
      <c r="W46" s="607">
        <f t="shared" si="5"/>
        <v>0</v>
      </c>
      <c r="X46" s="607">
        <f t="shared" si="5"/>
        <v>0</v>
      </c>
      <c r="Y46" s="797">
        <f t="shared" si="2"/>
        <v>1920000</v>
      </c>
      <c r="Z46" s="647">
        <f>SUM(Z45)</f>
        <v>150000</v>
      </c>
      <c r="AA46" s="596"/>
    </row>
    <row r="47" spans="1:27" s="711" customFormat="1" ht="15">
      <c r="A47" s="959" t="s">
        <v>1800</v>
      </c>
      <c r="B47" s="704" t="s">
        <v>1282</v>
      </c>
      <c r="C47" s="705" t="s">
        <v>1284</v>
      </c>
      <c r="D47" s="706" t="s">
        <v>660</v>
      </c>
      <c r="E47" s="707">
        <v>103200</v>
      </c>
      <c r="F47" s="707">
        <v>106600</v>
      </c>
      <c r="G47" s="707">
        <v>106600</v>
      </c>
      <c r="H47" s="707">
        <v>106600</v>
      </c>
      <c r="I47" s="707">
        <v>106600</v>
      </c>
      <c r="J47" s="707">
        <v>106600</v>
      </c>
      <c r="K47" s="707">
        <v>106600</v>
      </c>
      <c r="L47" s="707">
        <v>106600</v>
      </c>
      <c r="M47" s="707">
        <v>106600</v>
      </c>
      <c r="N47" s="707">
        <v>106600</v>
      </c>
      <c r="O47" s="707">
        <v>106600</v>
      </c>
      <c r="P47" s="707">
        <v>106600</v>
      </c>
      <c r="Q47" s="708">
        <f t="shared" si="4"/>
        <v>1275800</v>
      </c>
      <c r="R47" s="707"/>
      <c r="S47" s="709"/>
      <c r="T47" s="707"/>
      <c r="U47" s="707"/>
      <c r="V47" s="707"/>
      <c r="W47" s="707"/>
      <c r="X47" s="790"/>
      <c r="Y47" s="862">
        <f t="shared" si="2"/>
        <v>1275800</v>
      </c>
      <c r="Z47" s="710"/>
      <c r="AA47" s="710"/>
    </row>
    <row r="48" spans="1:27" s="711" customFormat="1" ht="15">
      <c r="A48" s="959" t="s">
        <v>1801</v>
      </c>
      <c r="B48" s="704" t="s">
        <v>1283</v>
      </c>
      <c r="C48" s="705" t="s">
        <v>1284</v>
      </c>
      <c r="D48" s="706" t="s">
        <v>661</v>
      </c>
      <c r="E48" s="707">
        <v>129500</v>
      </c>
      <c r="F48" s="707">
        <v>129500</v>
      </c>
      <c r="G48" s="707">
        <v>129500</v>
      </c>
      <c r="H48" s="707">
        <v>129500</v>
      </c>
      <c r="I48" s="707">
        <v>129500</v>
      </c>
      <c r="J48" s="707">
        <v>129500</v>
      </c>
      <c r="K48" s="707">
        <v>129500</v>
      </c>
      <c r="L48" s="707">
        <v>129500</v>
      </c>
      <c r="M48" s="707">
        <v>129500</v>
      </c>
      <c r="N48" s="707">
        <v>129500</v>
      </c>
      <c r="O48" s="707">
        <v>129500</v>
      </c>
      <c r="P48" s="707">
        <v>129500</v>
      </c>
      <c r="Q48" s="708">
        <f t="shared" si="4"/>
        <v>1554000</v>
      </c>
      <c r="R48" s="707">
        <f>220500*12</f>
        <v>2646000</v>
      </c>
      <c r="S48" s="709"/>
      <c r="T48" s="707"/>
      <c r="U48" s="707"/>
      <c r="V48" s="707"/>
      <c r="W48" s="707"/>
      <c r="X48" s="790"/>
      <c r="Y48" s="862">
        <f t="shared" si="2"/>
        <v>4200000</v>
      </c>
      <c r="Z48" s="710"/>
      <c r="AA48" s="710"/>
    </row>
    <row r="49" spans="1:27" ht="15">
      <c r="A49" s="959"/>
      <c r="B49" s="635" t="s">
        <v>24</v>
      </c>
      <c r="C49" s="606"/>
      <c r="D49" s="631"/>
      <c r="E49" s="607"/>
      <c r="F49" s="607"/>
      <c r="G49" s="607"/>
      <c r="H49" s="607"/>
      <c r="I49" s="607"/>
      <c r="J49" s="607"/>
      <c r="K49" s="607"/>
      <c r="L49" s="607"/>
      <c r="M49" s="607"/>
      <c r="N49" s="607"/>
      <c r="O49" s="607"/>
      <c r="P49" s="607"/>
      <c r="Q49" s="612">
        <f aca="true" t="shared" si="6" ref="Q49:X49">SUM(Q47:Q48)</f>
        <v>2829800</v>
      </c>
      <c r="R49" s="607">
        <f t="shared" si="6"/>
        <v>2646000</v>
      </c>
      <c r="S49" s="607">
        <f t="shared" si="6"/>
        <v>0</v>
      </c>
      <c r="T49" s="607">
        <f t="shared" si="6"/>
        <v>0</v>
      </c>
      <c r="U49" s="607">
        <f t="shared" si="6"/>
        <v>0</v>
      </c>
      <c r="V49" s="607">
        <f t="shared" si="6"/>
        <v>0</v>
      </c>
      <c r="W49" s="607">
        <f t="shared" si="6"/>
        <v>0</v>
      </c>
      <c r="X49" s="607">
        <f t="shared" si="6"/>
        <v>0</v>
      </c>
      <c r="Y49" s="797">
        <f t="shared" si="2"/>
        <v>5475800</v>
      </c>
      <c r="Z49" s="596">
        <f>SUM(Z47:Z48)</f>
        <v>0</v>
      </c>
      <c r="AA49" s="596"/>
    </row>
    <row r="50" spans="1:27" ht="15">
      <c r="A50" s="959" t="s">
        <v>1802</v>
      </c>
      <c r="B50" s="601" t="s">
        <v>1278</v>
      </c>
      <c r="C50" s="597"/>
      <c r="D50" s="632"/>
      <c r="E50" s="607">
        <v>174000</v>
      </c>
      <c r="F50" s="607">
        <v>174000</v>
      </c>
      <c r="G50" s="607">
        <v>174000</v>
      </c>
      <c r="H50" s="607">
        <v>174000</v>
      </c>
      <c r="I50" s="607">
        <v>174000</v>
      </c>
      <c r="J50" s="607">
        <v>174000</v>
      </c>
      <c r="K50" s="607">
        <v>174000</v>
      </c>
      <c r="L50" s="607">
        <v>174000</v>
      </c>
      <c r="M50" s="607">
        <v>174000</v>
      </c>
      <c r="N50" s="607">
        <v>174000</v>
      </c>
      <c r="O50" s="607">
        <v>174000</v>
      </c>
      <c r="P50" s="607">
        <v>174000</v>
      </c>
      <c r="Q50" s="612">
        <f t="shared" si="4"/>
        <v>2088000</v>
      </c>
      <c r="R50" s="607"/>
      <c r="S50" s="610"/>
      <c r="T50" s="607"/>
      <c r="U50" s="607"/>
      <c r="V50" s="607"/>
      <c r="W50" s="607"/>
      <c r="X50" s="784"/>
      <c r="Y50" s="797">
        <f t="shared" si="2"/>
        <v>2088000</v>
      </c>
      <c r="Z50" s="596"/>
      <c r="AA50" s="596"/>
    </row>
    <row r="51" spans="1:27" ht="15">
      <c r="A51" s="959" t="s">
        <v>1803</v>
      </c>
      <c r="B51" s="601" t="s">
        <v>1407</v>
      </c>
      <c r="C51" s="597"/>
      <c r="D51" s="629" t="s">
        <v>17</v>
      </c>
      <c r="E51" s="607">
        <v>130690</v>
      </c>
      <c r="F51" s="607">
        <v>130690</v>
      </c>
      <c r="G51" s="607">
        <v>130690</v>
      </c>
      <c r="H51" s="607">
        <v>130690</v>
      </c>
      <c r="I51" s="607">
        <v>130690</v>
      </c>
      <c r="J51" s="607">
        <v>130690</v>
      </c>
      <c r="K51" s="607">
        <v>130690</v>
      </c>
      <c r="L51" s="607">
        <v>130690</v>
      </c>
      <c r="M51" s="607">
        <v>130690</v>
      </c>
      <c r="N51" s="607">
        <v>130690</v>
      </c>
      <c r="O51" s="607">
        <v>130690</v>
      </c>
      <c r="P51" s="607">
        <v>130690</v>
      </c>
      <c r="Q51" s="612">
        <f t="shared" si="4"/>
        <v>1568280</v>
      </c>
      <c r="R51" s="607"/>
      <c r="S51" s="610"/>
      <c r="T51" s="607"/>
      <c r="U51" s="607"/>
      <c r="V51" s="607"/>
      <c r="W51" s="607"/>
      <c r="X51" s="784"/>
      <c r="Y51" s="797">
        <f t="shared" si="2"/>
        <v>1568280</v>
      </c>
      <c r="Z51" s="596">
        <f>150000*0.3</f>
        <v>45000</v>
      </c>
      <c r="AA51" s="1026">
        <f>SUM(Y51:Z51)</f>
        <v>1613280</v>
      </c>
    </row>
    <row r="52" spans="1:27" ht="15">
      <c r="A52" s="959" t="s">
        <v>1804</v>
      </c>
      <c r="B52" s="601" t="s">
        <v>1280</v>
      </c>
      <c r="C52" s="597"/>
      <c r="D52" s="632"/>
      <c r="E52" s="607">
        <v>50000</v>
      </c>
      <c r="F52" s="607">
        <v>50000</v>
      </c>
      <c r="G52" s="607">
        <v>50000</v>
      </c>
      <c r="H52" s="607">
        <v>50000</v>
      </c>
      <c r="I52" s="607">
        <v>50000</v>
      </c>
      <c r="J52" s="607">
        <v>50000</v>
      </c>
      <c r="K52" s="607">
        <v>50000</v>
      </c>
      <c r="L52" s="607">
        <v>50000</v>
      </c>
      <c r="M52" s="607">
        <v>50000</v>
      </c>
      <c r="N52" s="607">
        <v>50000</v>
      </c>
      <c r="O52" s="607">
        <v>50000</v>
      </c>
      <c r="P52" s="607">
        <v>50000</v>
      </c>
      <c r="Q52" s="612">
        <f>SUBTOTAL(9,E52:P52)</f>
        <v>600000</v>
      </c>
      <c r="R52" s="607"/>
      <c r="S52" s="610"/>
      <c r="T52" s="607"/>
      <c r="U52" s="607"/>
      <c r="V52" s="607"/>
      <c r="W52" s="607"/>
      <c r="X52" s="784"/>
      <c r="Y52" s="797">
        <f t="shared" si="2"/>
        <v>600000</v>
      </c>
      <c r="Z52" s="596"/>
      <c r="AA52" s="596"/>
    </row>
    <row r="53" spans="2:27" ht="15">
      <c r="B53" s="635" t="s">
        <v>21</v>
      </c>
      <c r="C53" s="597"/>
      <c r="D53" s="632"/>
      <c r="E53" s="607"/>
      <c r="F53" s="607"/>
      <c r="G53" s="607"/>
      <c r="H53" s="607"/>
      <c r="I53" s="607"/>
      <c r="J53" s="607"/>
      <c r="K53" s="607"/>
      <c r="L53" s="607"/>
      <c r="M53" s="607"/>
      <c r="N53" s="607"/>
      <c r="O53" s="607"/>
      <c r="P53" s="607"/>
      <c r="Q53" s="612">
        <f aca="true" t="shared" si="7" ref="Q53:X53">SUM(Q50:Q52)</f>
        <v>4256280</v>
      </c>
      <c r="R53" s="607">
        <f t="shared" si="7"/>
        <v>0</v>
      </c>
      <c r="S53" s="607">
        <f t="shared" si="7"/>
        <v>0</v>
      </c>
      <c r="T53" s="607">
        <f t="shared" si="7"/>
        <v>0</v>
      </c>
      <c r="U53" s="607">
        <f t="shared" si="7"/>
        <v>0</v>
      </c>
      <c r="V53" s="607">
        <f t="shared" si="7"/>
        <v>0</v>
      </c>
      <c r="W53" s="607">
        <f t="shared" si="7"/>
        <v>0</v>
      </c>
      <c r="X53" s="607">
        <f t="shared" si="7"/>
        <v>0</v>
      </c>
      <c r="Y53" s="797">
        <f t="shared" si="2"/>
        <v>4256280</v>
      </c>
      <c r="Z53" s="596">
        <f>SUM(Z50:Z52)</f>
        <v>45000</v>
      </c>
      <c r="AA53" s="596"/>
    </row>
    <row r="54" spans="1:27" ht="15">
      <c r="A54" s="959" t="s">
        <v>1805</v>
      </c>
      <c r="B54" s="601" t="s">
        <v>603</v>
      </c>
      <c r="C54" s="614" t="s">
        <v>3</v>
      </c>
      <c r="D54" s="633" t="s">
        <v>662</v>
      </c>
      <c r="E54" s="607">
        <v>58500</v>
      </c>
      <c r="F54" s="607">
        <v>58500</v>
      </c>
      <c r="G54" s="607">
        <v>58500</v>
      </c>
      <c r="H54" s="607">
        <v>58500</v>
      </c>
      <c r="I54" s="607">
        <v>58500</v>
      </c>
      <c r="J54" s="607">
        <v>58500</v>
      </c>
      <c r="K54" s="607">
        <v>58500</v>
      </c>
      <c r="L54" s="607">
        <v>58500</v>
      </c>
      <c r="M54" s="607">
        <v>58500</v>
      </c>
      <c r="N54" s="607">
        <v>58500</v>
      </c>
      <c r="O54" s="607">
        <v>58500</v>
      </c>
      <c r="P54" s="607">
        <v>58500</v>
      </c>
      <c r="Q54" s="612">
        <f t="shared" si="4"/>
        <v>702000</v>
      </c>
      <c r="R54" s="607">
        <f>5000*12</f>
        <v>60000</v>
      </c>
      <c r="S54" s="610"/>
      <c r="T54" s="607"/>
      <c r="U54" s="607"/>
      <c r="V54" s="607"/>
      <c r="W54" s="607"/>
      <c r="X54" s="784"/>
      <c r="Y54" s="797">
        <f t="shared" si="2"/>
        <v>762000</v>
      </c>
      <c r="Z54" s="596"/>
      <c r="AA54" s="596"/>
    </row>
    <row r="55" spans="1:27" ht="15">
      <c r="A55" s="959" t="s">
        <v>1806</v>
      </c>
      <c r="B55" s="601" t="s">
        <v>161</v>
      </c>
      <c r="C55" s="614" t="s">
        <v>3</v>
      </c>
      <c r="D55" s="633" t="s">
        <v>663</v>
      </c>
      <c r="E55" s="607">
        <v>62200</v>
      </c>
      <c r="F55" s="607">
        <v>62200</v>
      </c>
      <c r="G55" s="607">
        <v>62200</v>
      </c>
      <c r="H55" s="607">
        <v>62200</v>
      </c>
      <c r="I55" s="607">
        <v>62200</v>
      </c>
      <c r="J55" s="607">
        <v>62200</v>
      </c>
      <c r="K55" s="607">
        <v>62200</v>
      </c>
      <c r="L55" s="607">
        <v>62200</v>
      </c>
      <c r="M55" s="607">
        <v>62200</v>
      </c>
      <c r="N55" s="607">
        <v>62200</v>
      </c>
      <c r="O55" s="607">
        <v>62200</v>
      </c>
      <c r="P55" s="607">
        <v>62200</v>
      </c>
      <c r="Q55" s="612">
        <f t="shared" si="4"/>
        <v>746400</v>
      </c>
      <c r="R55" s="607">
        <f>5000*12</f>
        <v>60000</v>
      </c>
      <c r="S55" s="610"/>
      <c r="T55" s="607"/>
      <c r="U55" s="607"/>
      <c r="V55" s="607"/>
      <c r="W55" s="607"/>
      <c r="X55" s="784"/>
      <c r="Y55" s="797">
        <f t="shared" si="2"/>
        <v>806400</v>
      </c>
      <c r="Z55" s="596"/>
      <c r="AA55" s="596"/>
    </row>
    <row r="56" spans="1:27" ht="15">
      <c r="A56" s="959" t="s">
        <v>1807</v>
      </c>
      <c r="B56" s="601" t="s">
        <v>162</v>
      </c>
      <c r="C56" s="614" t="s">
        <v>3</v>
      </c>
      <c r="D56" s="633" t="s">
        <v>663</v>
      </c>
      <c r="E56" s="604">
        <v>62200</v>
      </c>
      <c r="F56" s="604">
        <v>62200</v>
      </c>
      <c r="G56" s="604">
        <v>62200</v>
      </c>
      <c r="H56" s="604">
        <v>62200</v>
      </c>
      <c r="I56" s="604">
        <v>62200</v>
      </c>
      <c r="J56" s="604">
        <v>62200</v>
      </c>
      <c r="K56" s="604">
        <v>62200</v>
      </c>
      <c r="L56" s="604">
        <v>62200</v>
      </c>
      <c r="M56" s="604">
        <v>62200</v>
      </c>
      <c r="N56" s="604">
        <v>62200</v>
      </c>
      <c r="O56" s="604">
        <v>62200</v>
      </c>
      <c r="P56" s="604">
        <v>62200</v>
      </c>
      <c r="Q56" s="611">
        <f t="shared" si="4"/>
        <v>746400</v>
      </c>
      <c r="R56" s="607">
        <f>5000*12</f>
        <v>60000</v>
      </c>
      <c r="S56" s="638"/>
      <c r="T56" s="604"/>
      <c r="U56" s="604"/>
      <c r="V56" s="604"/>
      <c r="W56" s="604"/>
      <c r="X56" s="791"/>
      <c r="Y56" s="797">
        <f t="shared" si="2"/>
        <v>806400</v>
      </c>
      <c r="Z56" s="596"/>
      <c r="AA56" s="596"/>
    </row>
    <row r="57" spans="2:27" ht="15.75" thickBot="1">
      <c r="B57" s="635" t="s">
        <v>22</v>
      </c>
      <c r="C57" s="597"/>
      <c r="D57" s="632"/>
      <c r="E57" s="637"/>
      <c r="F57" s="597"/>
      <c r="G57" s="597"/>
      <c r="H57" s="597"/>
      <c r="I57" s="597"/>
      <c r="J57" s="597"/>
      <c r="K57" s="597"/>
      <c r="L57" s="597"/>
      <c r="M57" s="597"/>
      <c r="N57" s="597"/>
      <c r="O57" s="597"/>
      <c r="P57" s="597"/>
      <c r="Q57" s="604">
        <f aca="true" t="shared" si="8" ref="Q57:X57">SUM(Q54:Q56)</f>
        <v>2194800</v>
      </c>
      <c r="R57" s="958">
        <f t="shared" si="8"/>
        <v>180000</v>
      </c>
      <c r="S57" s="958">
        <f t="shared" si="8"/>
        <v>0</v>
      </c>
      <c r="T57" s="958">
        <f t="shared" si="8"/>
        <v>0</v>
      </c>
      <c r="U57" s="958">
        <f t="shared" si="8"/>
        <v>0</v>
      </c>
      <c r="V57" s="958">
        <f t="shared" si="8"/>
        <v>0</v>
      </c>
      <c r="W57" s="958">
        <f t="shared" si="8"/>
        <v>0</v>
      </c>
      <c r="X57" s="958">
        <f t="shared" si="8"/>
        <v>0</v>
      </c>
      <c r="Y57" s="798">
        <f t="shared" si="2"/>
        <v>2374800</v>
      </c>
      <c r="Z57" s="596">
        <f>SUM(Z54:Z56)</f>
        <v>0</v>
      </c>
      <c r="AA57" s="596"/>
    </row>
    <row r="59" spans="23:27" ht="15">
      <c r="W59" s="801" t="s">
        <v>1293</v>
      </c>
      <c r="X59" s="802" t="e">
        <f>Y7+Y5+Y12+Y13+Y22+Y23+Y24+#REF!+Y31+#REF!+Y32+Y21+Y34+#REF!+Y37+#REF!+Y41</f>
        <v>#REF!</v>
      </c>
      <c r="Y59" s="802">
        <f>Y44+Y46+Y49+Y53+Y57</f>
        <v>115322836</v>
      </c>
      <c r="Z59" s="802">
        <f>Z44+Z46+Z49+Z53+Z57</f>
        <v>6470000</v>
      </c>
      <c r="AA59" s="1011">
        <f>SUM(Y59:Z59)</f>
        <v>121792836</v>
      </c>
    </row>
    <row r="60" spans="25:26" ht="15">
      <c r="Y60" s="802">
        <f>ROUND(Y59,-3)/1000</f>
        <v>115323</v>
      </c>
      <c r="Z60" s="802">
        <f>ROUND(Z59,-3)/1000</f>
        <v>6470</v>
      </c>
    </row>
  </sheetData>
  <sheetProtection/>
  <autoFilter ref="B1:C57"/>
  <printOptions/>
  <pageMargins left="0.7" right="0.7" top="0.75" bottom="0.75" header="0.3" footer="0.3"/>
  <pageSetup horizontalDpi="600" verticalDpi="600" orientation="landscape" paperSize="9" scale="51" r:id="rId1"/>
  <colBreaks count="1" manualBreakCount="1">
    <brk id="23" max="58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AE10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00390625" style="0" customWidth="1"/>
    <col min="2" max="2" width="21.7109375" style="0" customWidth="1"/>
    <col min="3" max="3" width="15.00390625" style="0" bestFit="1" customWidth="1"/>
    <col min="4" max="4" width="10.00390625" style="0" bestFit="1" customWidth="1"/>
    <col min="5" max="5" width="9.57421875" style="0" bestFit="1" customWidth="1"/>
    <col min="7" max="7" width="9.8515625" style="0" bestFit="1" customWidth="1"/>
    <col min="8" max="8" width="10.8515625" style="0" bestFit="1" customWidth="1"/>
    <col min="9" max="9" width="9.28125" style="0" bestFit="1" customWidth="1"/>
    <col min="10" max="10" width="9.7109375" style="0" bestFit="1" customWidth="1"/>
    <col min="13" max="13" width="9.7109375" style="0" bestFit="1" customWidth="1"/>
    <col min="14" max="14" width="11.00390625" style="0" bestFit="1" customWidth="1"/>
    <col min="16" max="16" width="9.57421875" style="0" bestFit="1" customWidth="1"/>
    <col min="17" max="17" width="13.57421875" style="0" customWidth="1"/>
    <col min="18" max="18" width="11.28125" style="0" customWidth="1"/>
    <col min="19" max="19" width="11.57421875" style="0" bestFit="1" customWidth="1"/>
    <col min="20" max="20" width="10.28125" style="0" bestFit="1" customWidth="1"/>
    <col min="21" max="21" width="19.7109375" style="0" bestFit="1" customWidth="1"/>
    <col min="22" max="22" width="6.57421875" style="0" hidden="1" customWidth="1"/>
    <col min="23" max="23" width="16.00390625" style="0" bestFit="1" customWidth="1"/>
    <col min="24" max="24" width="13.140625" style="0" bestFit="1" customWidth="1"/>
    <col min="25" max="25" width="14.57421875" style="0" customWidth="1"/>
    <col min="26" max="26" width="7.00390625" style="0" bestFit="1" customWidth="1"/>
    <col min="27" max="27" width="10.8515625" style="0" customWidth="1"/>
    <col min="28" max="28" width="8.28125" style="0" bestFit="1" customWidth="1"/>
    <col min="29" max="29" width="50.57421875" style="0" customWidth="1"/>
  </cols>
  <sheetData>
    <row r="1" spans="1:30" ht="15.75" thickBot="1">
      <c r="A1" s="959" t="s">
        <v>1776</v>
      </c>
      <c r="B1" s="635" t="s">
        <v>619</v>
      </c>
      <c r="C1" s="695"/>
      <c r="D1" s="696" t="s">
        <v>91</v>
      </c>
      <c r="E1" s="611" t="s">
        <v>1485</v>
      </c>
      <c r="F1" s="697" t="s">
        <v>1486</v>
      </c>
      <c r="G1" s="697" t="s">
        <v>1487</v>
      </c>
      <c r="H1" s="697" t="s">
        <v>1488</v>
      </c>
      <c r="I1" s="697" t="s">
        <v>1489</v>
      </c>
      <c r="J1" s="697" t="s">
        <v>1490</v>
      </c>
      <c r="K1" s="697" t="s">
        <v>1491</v>
      </c>
      <c r="L1" s="697" t="s">
        <v>1492</v>
      </c>
      <c r="M1" s="697" t="s">
        <v>1493</v>
      </c>
      <c r="N1" s="697" t="s">
        <v>1494</v>
      </c>
      <c r="O1" s="697" t="s">
        <v>1495</v>
      </c>
      <c r="P1" s="697" t="s">
        <v>1496</v>
      </c>
      <c r="Q1" s="611" t="s">
        <v>1275</v>
      </c>
      <c r="R1" s="697" t="s">
        <v>25</v>
      </c>
      <c r="S1" s="697" t="s">
        <v>1403</v>
      </c>
      <c r="T1" s="697" t="s">
        <v>1281</v>
      </c>
      <c r="U1" s="697" t="s">
        <v>26</v>
      </c>
      <c r="V1" s="697" t="s">
        <v>652</v>
      </c>
      <c r="W1" s="697" t="s">
        <v>1276</v>
      </c>
      <c r="X1" s="697" t="s">
        <v>1277</v>
      </c>
      <c r="Y1" s="795"/>
      <c r="Z1" s="647" t="s">
        <v>27</v>
      </c>
      <c r="AA1" s="647" t="s">
        <v>28</v>
      </c>
      <c r="AB1" s="647" t="s">
        <v>29</v>
      </c>
      <c r="AC1" s="647" t="s">
        <v>651</v>
      </c>
      <c r="AD1" s="302"/>
    </row>
    <row r="2" spans="1:30" ht="15">
      <c r="A2" s="959"/>
      <c r="B2" s="953" t="s">
        <v>1480</v>
      </c>
      <c r="C2" s="473" t="s">
        <v>615</v>
      </c>
      <c r="D2" s="965">
        <v>1400400</v>
      </c>
      <c r="E2" s="610">
        <v>318900</v>
      </c>
      <c r="F2" s="610">
        <v>318900</v>
      </c>
      <c r="G2" s="610">
        <v>318900</v>
      </c>
      <c r="H2" s="610">
        <v>318900</v>
      </c>
      <c r="I2" s="610">
        <v>318900</v>
      </c>
      <c r="J2" s="610">
        <v>318900</v>
      </c>
      <c r="K2" s="610">
        <v>318900</v>
      </c>
      <c r="L2" s="610">
        <v>318900</v>
      </c>
      <c r="M2" s="610">
        <v>318900</v>
      </c>
      <c r="N2" s="610">
        <v>318900</v>
      </c>
      <c r="O2" s="610">
        <v>318900</v>
      </c>
      <c r="P2" s="610">
        <v>318900</v>
      </c>
      <c r="Q2" s="612">
        <f>SUBTOTAL(9,E2:P2)</f>
        <v>3826800</v>
      </c>
      <c r="R2" s="609">
        <f>Q2*0.2</f>
        <v>765360</v>
      </c>
      <c r="S2" s="610"/>
      <c r="T2" s="609"/>
      <c r="U2" s="609">
        <f>Q2*0.4</f>
        <v>1530720</v>
      </c>
      <c r="V2" s="609"/>
      <c r="W2" s="609">
        <f>H2*5</f>
        <v>1594500</v>
      </c>
      <c r="X2" s="788"/>
      <c r="Y2" s="976">
        <f>+Q2+R2+S2+T2+U2+V2+W2+X2</f>
        <v>7717380</v>
      </c>
      <c r="Z2" s="792"/>
      <c r="AA2" s="596">
        <v>5000</v>
      </c>
      <c r="AB2" s="596"/>
      <c r="AC2" s="950" t="s">
        <v>1773</v>
      </c>
      <c r="AD2" s="302"/>
    </row>
    <row r="3" spans="1:30" ht="15">
      <c r="A3" s="959"/>
      <c r="B3" s="304" t="s">
        <v>158</v>
      </c>
      <c r="C3" s="469" t="s">
        <v>1285</v>
      </c>
      <c r="D3" s="963">
        <v>1400400</v>
      </c>
      <c r="E3" s="610">
        <v>318900</v>
      </c>
      <c r="F3" s="610">
        <v>318900</v>
      </c>
      <c r="G3" s="610">
        <v>318900</v>
      </c>
      <c r="H3" s="610">
        <v>318900</v>
      </c>
      <c r="I3" s="610">
        <v>318900</v>
      </c>
      <c r="J3" s="610">
        <v>318900</v>
      </c>
      <c r="K3" s="610">
        <v>318900</v>
      </c>
      <c r="L3" s="610">
        <v>318900</v>
      </c>
      <c r="M3" s="610">
        <v>318900</v>
      </c>
      <c r="N3" s="610">
        <v>318900</v>
      </c>
      <c r="O3" s="610">
        <v>318900</v>
      </c>
      <c r="P3" s="610">
        <v>318900</v>
      </c>
      <c r="Q3" s="612">
        <f>SUBTOTAL(9,E3:P3)</f>
        <v>3826800</v>
      </c>
      <c r="R3" s="605">
        <f>+Q3*0.2</f>
        <v>765360</v>
      </c>
      <c r="S3" s="605"/>
      <c r="T3" s="597"/>
      <c r="U3" s="605">
        <f>17364*12</f>
        <v>208368</v>
      </c>
      <c r="V3" s="605"/>
      <c r="W3" s="605"/>
      <c r="X3" s="783"/>
      <c r="Y3" s="977">
        <f>+Q3+R3+S3+T3+U3+V3+W3+X3</f>
        <v>4800528</v>
      </c>
      <c r="Z3" s="792"/>
      <c r="AA3" s="596">
        <v>5000</v>
      </c>
      <c r="AB3" s="596"/>
      <c r="AC3" s="596"/>
      <c r="AD3" s="302"/>
    </row>
    <row r="4" spans="1:30" ht="15">
      <c r="A4" s="959"/>
      <c r="B4" s="304" t="s">
        <v>1433</v>
      </c>
      <c r="C4" s="469"/>
      <c r="D4" s="963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981">
        <f aca="true" t="shared" si="0" ref="Q4:Y4">SUM(Q2:Q3)</f>
        <v>7653600</v>
      </c>
      <c r="R4" s="612">
        <f t="shared" si="0"/>
        <v>1530720</v>
      </c>
      <c r="S4" s="612">
        <f t="shared" si="0"/>
        <v>0</v>
      </c>
      <c r="T4" s="612">
        <f t="shared" si="0"/>
        <v>0</v>
      </c>
      <c r="U4" s="612">
        <f t="shared" si="0"/>
        <v>1739088</v>
      </c>
      <c r="V4" s="612">
        <f t="shared" si="0"/>
        <v>0</v>
      </c>
      <c r="W4" s="612">
        <f t="shared" si="0"/>
        <v>1594500</v>
      </c>
      <c r="X4" s="612">
        <f t="shared" si="0"/>
        <v>0</v>
      </c>
      <c r="Y4" s="612">
        <f t="shared" si="0"/>
        <v>12517908</v>
      </c>
      <c r="Z4" s="792"/>
      <c r="AA4" s="596"/>
      <c r="AB4" s="596"/>
      <c r="AC4" s="596"/>
      <c r="AD4" s="302"/>
    </row>
    <row r="5" spans="1:30" ht="15">
      <c r="A5" s="959"/>
      <c r="B5" s="304" t="s">
        <v>1509</v>
      </c>
      <c r="C5" s="469" t="s">
        <v>614</v>
      </c>
      <c r="D5" s="966">
        <v>1400700</v>
      </c>
      <c r="E5" s="605">
        <v>270600</v>
      </c>
      <c r="F5" s="605">
        <v>270600</v>
      </c>
      <c r="G5" s="605">
        <v>270600</v>
      </c>
      <c r="H5" s="605">
        <v>270600</v>
      </c>
      <c r="I5" s="605">
        <v>270600</v>
      </c>
      <c r="J5" s="605">
        <v>270600</v>
      </c>
      <c r="K5" s="605">
        <v>270600</v>
      </c>
      <c r="L5" s="605">
        <v>270600</v>
      </c>
      <c r="M5" s="605">
        <v>270600</v>
      </c>
      <c r="N5" s="605">
        <v>270600</v>
      </c>
      <c r="O5" s="605">
        <v>270600</v>
      </c>
      <c r="P5" s="605">
        <v>270600</v>
      </c>
      <c r="Q5" s="612">
        <f>SUBTOTAL(9,E5:P5)</f>
        <v>3247200</v>
      </c>
      <c r="R5" s="605"/>
      <c r="S5" s="605">
        <f>23190*2*12</f>
        <v>556560</v>
      </c>
      <c r="T5" s="605"/>
      <c r="U5" s="605"/>
      <c r="V5" s="605"/>
      <c r="W5" s="605"/>
      <c r="X5" s="783"/>
      <c r="Y5" s="977">
        <f>+Q5+R5+S5+T5+U5+V5+W5+X5</f>
        <v>3803760</v>
      </c>
      <c r="Z5" s="792"/>
      <c r="AA5" s="596">
        <v>5000</v>
      </c>
      <c r="AB5" s="956"/>
      <c r="AC5" s="982"/>
      <c r="AD5" s="983"/>
    </row>
    <row r="6" spans="1:30" ht="15">
      <c r="A6" s="959"/>
      <c r="B6" s="953" t="s">
        <v>202</v>
      </c>
      <c r="C6" s="970" t="s">
        <v>612</v>
      </c>
      <c r="D6" s="971">
        <v>1400700</v>
      </c>
      <c r="E6" s="972">
        <v>270600</v>
      </c>
      <c r="F6" s="972">
        <v>270600</v>
      </c>
      <c r="G6" s="972">
        <v>270600</v>
      </c>
      <c r="H6" s="972">
        <v>270600</v>
      </c>
      <c r="I6" s="972">
        <v>270600</v>
      </c>
      <c r="J6" s="972">
        <v>270600</v>
      </c>
      <c r="K6" s="972">
        <v>270600</v>
      </c>
      <c r="L6" s="972">
        <v>270600</v>
      </c>
      <c r="M6" s="972">
        <v>270600</v>
      </c>
      <c r="N6" s="972">
        <v>270600</v>
      </c>
      <c r="O6" s="972">
        <v>270600</v>
      </c>
      <c r="P6" s="972">
        <v>270600</v>
      </c>
      <c r="Q6" s="612">
        <f>SUBTOTAL(9,E6:P6)</f>
        <v>3247200</v>
      </c>
      <c r="R6" s="972"/>
      <c r="S6" s="954"/>
      <c r="T6" s="972"/>
      <c r="U6" s="972"/>
      <c r="V6" s="972"/>
      <c r="W6" s="972"/>
      <c r="X6" s="979"/>
      <c r="Y6" s="977">
        <f>+Q6+R6+S6+T6+U6+V6+W6+X6</f>
        <v>3247200</v>
      </c>
      <c r="Z6" s="955"/>
      <c r="AA6" s="956">
        <v>5000</v>
      </c>
      <c r="AB6" s="956"/>
      <c r="AC6" s="956"/>
      <c r="AD6" s="983"/>
    </row>
    <row r="7" spans="1:30" ht="15">
      <c r="A7" s="959"/>
      <c r="B7" s="304" t="s">
        <v>160</v>
      </c>
      <c r="C7" s="469" t="s">
        <v>610</v>
      </c>
      <c r="D7" s="966">
        <v>1400700</v>
      </c>
      <c r="E7" s="605">
        <v>270600</v>
      </c>
      <c r="F7" s="605">
        <v>270600</v>
      </c>
      <c r="G7" s="605">
        <v>270600</v>
      </c>
      <c r="H7" s="605">
        <v>270600</v>
      </c>
      <c r="I7" s="605">
        <v>270600</v>
      </c>
      <c r="J7" s="605">
        <v>270600</v>
      </c>
      <c r="K7" s="605">
        <v>270600</v>
      </c>
      <c r="L7" s="605">
        <v>270600</v>
      </c>
      <c r="M7" s="605">
        <v>270600</v>
      </c>
      <c r="N7" s="605">
        <v>270600</v>
      </c>
      <c r="O7" s="605">
        <v>270600</v>
      </c>
      <c r="P7" s="605">
        <v>270600</v>
      </c>
      <c r="Q7" s="612">
        <f>SUBTOTAL(9,E7:P7)</f>
        <v>3247200</v>
      </c>
      <c r="R7" s="605"/>
      <c r="S7" s="605">
        <f>38650*0.6*12</f>
        <v>278280</v>
      </c>
      <c r="T7" s="605"/>
      <c r="U7" s="605"/>
      <c r="V7" s="605"/>
      <c r="W7" s="605"/>
      <c r="X7" s="783"/>
      <c r="Y7" s="977">
        <f>+Q7+R7+S7+T7+U7+V7+W7+X7</f>
        <v>3525480</v>
      </c>
      <c r="Z7" s="955"/>
      <c r="AA7" s="956">
        <v>5000</v>
      </c>
      <c r="AB7" s="956"/>
      <c r="AC7" s="956"/>
      <c r="AD7" s="983"/>
    </row>
    <row r="8" spans="1:30" ht="15">
      <c r="A8" s="959"/>
      <c r="B8" s="304" t="s">
        <v>1510</v>
      </c>
      <c r="C8" s="469" t="s">
        <v>608</v>
      </c>
      <c r="D8" s="966">
        <v>1400700</v>
      </c>
      <c r="E8" s="605">
        <v>270600</v>
      </c>
      <c r="F8" s="605">
        <v>270600</v>
      </c>
      <c r="G8" s="605">
        <v>270600</v>
      </c>
      <c r="H8" s="605">
        <v>270600</v>
      </c>
      <c r="I8" s="605">
        <v>270600</v>
      </c>
      <c r="J8" s="605">
        <v>270600</v>
      </c>
      <c r="K8" s="605">
        <v>270600</v>
      </c>
      <c r="L8" s="605">
        <v>270600</v>
      </c>
      <c r="M8" s="605">
        <v>270600</v>
      </c>
      <c r="N8" s="605">
        <v>270600</v>
      </c>
      <c r="O8" s="605">
        <v>270600</v>
      </c>
      <c r="P8" s="605">
        <v>270600</v>
      </c>
      <c r="Q8" s="612">
        <f>SUBTOTAL(9,E8:P8)</f>
        <v>3247200</v>
      </c>
      <c r="R8" s="605"/>
      <c r="S8" s="605">
        <f>38650*0.6*12</f>
        <v>278280</v>
      </c>
      <c r="T8" s="605"/>
      <c r="U8" s="605"/>
      <c r="V8" s="605"/>
      <c r="W8" s="605"/>
      <c r="X8" s="783"/>
      <c r="Y8" s="977">
        <f>+Q8+R8+S8+T8+U8+V8+W8+X8</f>
        <v>3525480</v>
      </c>
      <c r="Z8" s="955"/>
      <c r="AA8" s="956">
        <v>5000</v>
      </c>
      <c r="AB8" s="956"/>
      <c r="AC8" s="956"/>
      <c r="AD8" s="983"/>
    </row>
    <row r="9" spans="1:30" ht="15">
      <c r="A9" s="959"/>
      <c r="B9" s="304" t="s">
        <v>1433</v>
      </c>
      <c r="C9" s="469"/>
      <c r="D9" s="966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981">
        <f aca="true" t="shared" si="1" ref="Q9:Y9">SUM(Q5:Q8)</f>
        <v>12988800</v>
      </c>
      <c r="R9" s="612">
        <f t="shared" si="1"/>
        <v>0</v>
      </c>
      <c r="S9" s="612">
        <f t="shared" si="1"/>
        <v>1113120</v>
      </c>
      <c r="T9" s="612">
        <f t="shared" si="1"/>
        <v>0</v>
      </c>
      <c r="U9" s="612">
        <f t="shared" si="1"/>
        <v>0</v>
      </c>
      <c r="V9" s="612">
        <f t="shared" si="1"/>
        <v>0</v>
      </c>
      <c r="W9" s="612">
        <f t="shared" si="1"/>
        <v>0</v>
      </c>
      <c r="X9" s="612">
        <f t="shared" si="1"/>
        <v>0</v>
      </c>
      <c r="Y9" s="612">
        <f t="shared" si="1"/>
        <v>14101920</v>
      </c>
      <c r="Z9" s="955"/>
      <c r="AA9" s="956"/>
      <c r="AB9" s="956"/>
      <c r="AC9" s="956"/>
      <c r="AD9" s="983"/>
    </row>
    <row r="10" spans="1:30" ht="15">
      <c r="A10" s="959"/>
      <c r="B10" s="303" t="s">
        <v>1501</v>
      </c>
      <c r="C10" s="469" t="s">
        <v>614</v>
      </c>
      <c r="D10" s="966">
        <v>1410200</v>
      </c>
      <c r="E10" s="605">
        <v>123700</v>
      </c>
      <c r="F10" s="605">
        <v>123700</v>
      </c>
      <c r="G10" s="605">
        <v>123700</v>
      </c>
      <c r="H10" s="605">
        <v>61800</v>
      </c>
      <c r="I10" s="605"/>
      <c r="J10" s="605"/>
      <c r="K10" s="605"/>
      <c r="L10" s="605"/>
      <c r="M10" s="605"/>
      <c r="N10" s="605"/>
      <c r="O10" s="605"/>
      <c r="P10" s="605"/>
      <c r="Q10" s="612">
        <f>SUBTOTAL(9,E10:P10)</f>
        <v>432900</v>
      </c>
      <c r="R10" s="605"/>
      <c r="S10" s="605">
        <f>38650*0.6*12</f>
        <v>278280</v>
      </c>
      <c r="T10" s="605"/>
      <c r="U10" s="605"/>
      <c r="V10" s="605"/>
      <c r="W10" s="605"/>
      <c r="X10" s="783"/>
      <c r="Y10" s="977">
        <f>+Q10+R10+S10+T10+U10+V10+W10+X10</f>
        <v>711180</v>
      </c>
      <c r="Z10" s="955"/>
      <c r="AA10" s="956">
        <v>5000</v>
      </c>
      <c r="AB10" s="956"/>
      <c r="AC10" s="984" t="s">
        <v>1502</v>
      </c>
      <c r="AD10" s="983"/>
    </row>
    <row r="11" spans="1:30" ht="15">
      <c r="A11" s="959"/>
      <c r="B11" s="304" t="s">
        <v>8</v>
      </c>
      <c r="C11" s="469" t="s">
        <v>1285</v>
      </c>
      <c r="D11" s="966">
        <v>1410200</v>
      </c>
      <c r="E11" s="605">
        <v>123700</v>
      </c>
      <c r="F11" s="605">
        <v>123700</v>
      </c>
      <c r="G11" s="605">
        <v>123700</v>
      </c>
      <c r="H11" s="605">
        <v>123700</v>
      </c>
      <c r="I11" s="605">
        <v>123700</v>
      </c>
      <c r="J11" s="605">
        <v>123700</v>
      </c>
      <c r="K11" s="605">
        <v>123700</v>
      </c>
      <c r="L11" s="605">
        <v>123700</v>
      </c>
      <c r="M11" s="605">
        <v>64500</v>
      </c>
      <c r="N11" s="605"/>
      <c r="O11" s="605"/>
      <c r="P11" s="605"/>
      <c r="Q11" s="612">
        <f>SUBTOTAL(9,E11:P11)</f>
        <v>1054100</v>
      </c>
      <c r="R11" s="605"/>
      <c r="S11" s="605"/>
      <c r="T11" s="605"/>
      <c r="U11" s="605"/>
      <c r="V11" s="605"/>
      <c r="W11" s="605"/>
      <c r="X11" s="783"/>
      <c r="Y11" s="977">
        <f>+Q11+R11+S11+T11+U11+V11+W11+X11</f>
        <v>1054100</v>
      </c>
      <c r="Z11" s="955"/>
      <c r="AA11" s="956">
        <v>5000</v>
      </c>
      <c r="AB11" s="956"/>
      <c r="AC11" s="956"/>
      <c r="AD11" s="983"/>
    </row>
    <row r="12" spans="1:30" ht="15">
      <c r="A12" s="959"/>
      <c r="B12" s="304" t="s">
        <v>1433</v>
      </c>
      <c r="C12" s="469"/>
      <c r="D12" s="966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981">
        <f>SUM(Q10:Q11)</f>
        <v>1487000</v>
      </c>
      <c r="R12" s="612">
        <f aca="true" t="shared" si="2" ref="R12:X12">SUM(R10:R11)</f>
        <v>0</v>
      </c>
      <c r="S12" s="612">
        <f t="shared" si="2"/>
        <v>278280</v>
      </c>
      <c r="T12" s="612">
        <f t="shared" si="2"/>
        <v>0</v>
      </c>
      <c r="U12" s="612">
        <f t="shared" si="2"/>
        <v>0</v>
      </c>
      <c r="V12" s="612">
        <f t="shared" si="2"/>
        <v>0</v>
      </c>
      <c r="W12" s="612">
        <f t="shared" si="2"/>
        <v>0</v>
      </c>
      <c r="X12" s="612">
        <f t="shared" si="2"/>
        <v>0</v>
      </c>
      <c r="Y12" s="797">
        <f>SUM(Y10:Y11)</f>
        <v>1765280</v>
      </c>
      <c r="Z12" s="955"/>
      <c r="AA12" s="956"/>
      <c r="AB12" s="956"/>
      <c r="AC12" s="956"/>
      <c r="AD12" s="983"/>
    </row>
    <row r="13" spans="1:30" ht="15">
      <c r="A13" s="959"/>
      <c r="B13" s="304" t="s">
        <v>8</v>
      </c>
      <c r="C13" s="469" t="s">
        <v>1285</v>
      </c>
      <c r="D13" s="966">
        <v>1410300</v>
      </c>
      <c r="E13" s="605"/>
      <c r="F13" s="605"/>
      <c r="G13" s="605"/>
      <c r="H13" s="605"/>
      <c r="I13" s="605"/>
      <c r="J13" s="605"/>
      <c r="K13" s="605"/>
      <c r="L13" s="605"/>
      <c r="M13" s="605">
        <v>61000</v>
      </c>
      <c r="N13" s="605">
        <v>127500</v>
      </c>
      <c r="O13" s="605">
        <v>127500</v>
      </c>
      <c r="P13" s="605">
        <v>127500</v>
      </c>
      <c r="Q13" s="612">
        <f>SUM(M13:P13)</f>
        <v>443500</v>
      </c>
      <c r="R13" s="612"/>
      <c r="S13" s="612"/>
      <c r="T13" s="612"/>
      <c r="U13" s="612"/>
      <c r="V13" s="612"/>
      <c r="W13" s="612"/>
      <c r="X13" s="978"/>
      <c r="Y13" s="797"/>
      <c r="Z13" s="955"/>
      <c r="AA13" s="956"/>
      <c r="AB13" s="956"/>
      <c r="AC13" s="956"/>
      <c r="AD13" s="983"/>
    </row>
    <row r="14" spans="1:30" ht="15">
      <c r="A14" s="959"/>
      <c r="B14" s="303" t="s">
        <v>1501</v>
      </c>
      <c r="C14" s="469" t="s">
        <v>614</v>
      </c>
      <c r="D14" s="966">
        <v>1410300</v>
      </c>
      <c r="E14" s="605"/>
      <c r="F14" s="605"/>
      <c r="G14" s="605"/>
      <c r="H14" s="605">
        <v>63800</v>
      </c>
      <c r="I14" s="605">
        <v>127500</v>
      </c>
      <c r="J14" s="605">
        <v>127500</v>
      </c>
      <c r="K14" s="605">
        <v>127500</v>
      </c>
      <c r="L14" s="605">
        <v>127500</v>
      </c>
      <c r="M14" s="605">
        <v>127500</v>
      </c>
      <c r="N14" s="605">
        <v>127500</v>
      </c>
      <c r="O14" s="605">
        <v>127500</v>
      </c>
      <c r="P14" s="605">
        <v>127500</v>
      </c>
      <c r="Q14" s="612">
        <f>SUBTOTAL(9,E14:P14)</f>
        <v>1083800</v>
      </c>
      <c r="R14" s="605"/>
      <c r="S14" s="605">
        <f>38650*0.6*12</f>
        <v>278280</v>
      </c>
      <c r="T14" s="605"/>
      <c r="U14" s="605"/>
      <c r="V14" s="605"/>
      <c r="W14" s="605"/>
      <c r="X14" s="783"/>
      <c r="Y14" s="977">
        <f>+Q14+R14+S14+T14+U14+V14+W14+X14</f>
        <v>1362080</v>
      </c>
      <c r="Z14" s="955"/>
      <c r="AA14" s="956">
        <v>5000</v>
      </c>
      <c r="AB14" s="956"/>
      <c r="AC14" s="984" t="s">
        <v>1502</v>
      </c>
      <c r="AD14" s="983"/>
    </row>
    <row r="15" spans="1:30" ht="15">
      <c r="A15" s="959"/>
      <c r="B15" s="304" t="s">
        <v>605</v>
      </c>
      <c r="C15" s="469" t="s">
        <v>618</v>
      </c>
      <c r="D15" s="966">
        <v>1410300</v>
      </c>
      <c r="E15" s="605">
        <v>127500</v>
      </c>
      <c r="F15" s="605">
        <v>127500</v>
      </c>
      <c r="G15" s="605">
        <v>127500</v>
      </c>
      <c r="H15" s="605">
        <v>127500</v>
      </c>
      <c r="I15" s="605">
        <v>127500</v>
      </c>
      <c r="J15" s="605">
        <v>127500</v>
      </c>
      <c r="K15" s="605">
        <v>127500</v>
      </c>
      <c r="L15" s="605">
        <v>127500</v>
      </c>
      <c r="M15" s="605">
        <v>127500</v>
      </c>
      <c r="N15" s="605">
        <v>127500</v>
      </c>
      <c r="O15" s="605">
        <v>127500</v>
      </c>
      <c r="P15" s="605">
        <v>127500</v>
      </c>
      <c r="Q15" s="612">
        <f>SUBTOTAL(9,E15:P15)</f>
        <v>1530000</v>
      </c>
      <c r="R15" s="605">
        <v>306108</v>
      </c>
      <c r="S15" s="605">
        <f>38650*0.15*12</f>
        <v>69570</v>
      </c>
      <c r="T15" s="605"/>
      <c r="U15" s="605"/>
      <c r="V15" s="605"/>
      <c r="W15" s="605"/>
      <c r="X15" s="783"/>
      <c r="Y15" s="977">
        <f>+Q15+R15+S15+T15+U15+V15+W15+X15</f>
        <v>1905678</v>
      </c>
      <c r="Z15" s="955"/>
      <c r="AA15" s="956">
        <v>5000</v>
      </c>
      <c r="AB15" s="956"/>
      <c r="AC15" s="984"/>
      <c r="AD15" s="983"/>
    </row>
    <row r="16" spans="1:30" ht="15">
      <c r="A16" s="959"/>
      <c r="B16" s="304" t="s">
        <v>1433</v>
      </c>
      <c r="C16" s="469"/>
      <c r="D16" s="966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981">
        <f>SUM(Q13:Q15)</f>
        <v>3057300</v>
      </c>
      <c r="R16" s="612">
        <f aca="true" t="shared" si="3" ref="R16:X16">SUM(R14:R15)</f>
        <v>306108</v>
      </c>
      <c r="S16" s="612">
        <f t="shared" si="3"/>
        <v>347850</v>
      </c>
      <c r="T16" s="612">
        <f t="shared" si="3"/>
        <v>0</v>
      </c>
      <c r="U16" s="612">
        <f t="shared" si="3"/>
        <v>0</v>
      </c>
      <c r="V16" s="612">
        <f t="shared" si="3"/>
        <v>0</v>
      </c>
      <c r="W16" s="612">
        <f t="shared" si="3"/>
        <v>0</v>
      </c>
      <c r="X16" s="612">
        <f t="shared" si="3"/>
        <v>0</v>
      </c>
      <c r="Y16" s="797">
        <f>SUM(Y14:Y15)</f>
        <v>3267758</v>
      </c>
      <c r="Z16" s="955"/>
      <c r="AA16" s="956"/>
      <c r="AB16" s="956"/>
      <c r="AC16" s="984"/>
      <c r="AD16" s="983"/>
    </row>
    <row r="17" spans="1:30" ht="15">
      <c r="A17" s="959"/>
      <c r="B17" s="304"/>
      <c r="C17" s="469"/>
      <c r="D17" s="966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12"/>
      <c r="R17" s="612"/>
      <c r="S17" s="612"/>
      <c r="T17" s="612"/>
      <c r="U17" s="612"/>
      <c r="V17" s="612"/>
      <c r="W17" s="612"/>
      <c r="X17" s="978"/>
      <c r="Y17" s="797"/>
      <c r="Z17" s="955"/>
      <c r="AA17" s="956"/>
      <c r="AB17" s="956"/>
      <c r="AC17" s="984"/>
      <c r="AD17" s="983"/>
    </row>
    <row r="18" spans="1:30" ht="15">
      <c r="A18" s="959"/>
      <c r="B18" s="973" t="s">
        <v>107</v>
      </c>
      <c r="C18" s="974" t="s">
        <v>612</v>
      </c>
      <c r="D18" s="963">
        <v>1410500</v>
      </c>
      <c r="E18" s="975">
        <v>143000</v>
      </c>
      <c r="F18" s="975">
        <v>143000</v>
      </c>
      <c r="G18" s="975">
        <v>143000</v>
      </c>
      <c r="H18" s="975">
        <v>143000</v>
      </c>
      <c r="I18" s="975">
        <v>95300</v>
      </c>
      <c r="J18" s="975"/>
      <c r="K18" s="975"/>
      <c r="L18" s="975"/>
      <c r="M18" s="975"/>
      <c r="N18" s="975"/>
      <c r="O18" s="975"/>
      <c r="P18" s="975"/>
      <c r="Q18" s="981">
        <f>SUBTOTAL(9,E18:P18)</f>
        <v>667300</v>
      </c>
      <c r="R18" s="975"/>
      <c r="S18" s="605">
        <f>38650*0.6*12</f>
        <v>278280</v>
      </c>
      <c r="T18" s="975"/>
      <c r="U18" s="975"/>
      <c r="V18" s="975"/>
      <c r="W18" s="975"/>
      <c r="X18" s="980"/>
      <c r="Y18" s="797">
        <f>+Q18+R18+S18+T18+U18+V18+W18+X18</f>
        <v>945580</v>
      </c>
      <c r="Z18" s="955"/>
      <c r="AA18" s="956">
        <v>5000</v>
      </c>
      <c r="AB18" s="956"/>
      <c r="AC18" s="982" t="s">
        <v>1498</v>
      </c>
      <c r="AD18" s="983"/>
    </row>
    <row r="19" spans="1:30" ht="15">
      <c r="A19" s="959"/>
      <c r="B19" s="973"/>
      <c r="C19" s="974"/>
      <c r="D19" s="963"/>
      <c r="E19" s="975"/>
      <c r="F19" s="975"/>
      <c r="G19" s="975"/>
      <c r="H19" s="975"/>
      <c r="I19" s="975"/>
      <c r="J19" s="975"/>
      <c r="K19" s="975"/>
      <c r="L19" s="975"/>
      <c r="M19" s="975"/>
      <c r="N19" s="975"/>
      <c r="O19" s="975"/>
      <c r="P19" s="975"/>
      <c r="Q19" s="612"/>
      <c r="R19" s="975"/>
      <c r="S19" s="605"/>
      <c r="T19" s="975"/>
      <c r="U19" s="975"/>
      <c r="V19" s="975"/>
      <c r="W19" s="975"/>
      <c r="X19" s="980"/>
      <c r="Y19" s="977"/>
      <c r="Z19" s="955"/>
      <c r="AA19" s="956"/>
      <c r="AB19" s="956"/>
      <c r="AC19" s="982"/>
      <c r="AD19" s="983"/>
    </row>
    <row r="20" spans="1:30" ht="15">
      <c r="A20" s="959"/>
      <c r="B20" s="304" t="s">
        <v>604</v>
      </c>
      <c r="C20" s="469" t="s">
        <v>618</v>
      </c>
      <c r="D20" s="966">
        <v>1410580</v>
      </c>
      <c r="E20" s="605">
        <v>143000</v>
      </c>
      <c r="F20" s="605">
        <v>143000</v>
      </c>
      <c r="G20" s="605">
        <v>143000</v>
      </c>
      <c r="H20" s="605">
        <v>143000</v>
      </c>
      <c r="I20" s="605">
        <v>150700</v>
      </c>
      <c r="J20" s="605">
        <v>150700</v>
      </c>
      <c r="K20" s="605">
        <v>150700</v>
      </c>
      <c r="L20" s="605">
        <v>150700</v>
      </c>
      <c r="M20" s="605">
        <v>150700</v>
      </c>
      <c r="N20" s="605">
        <v>150700</v>
      </c>
      <c r="O20" s="605">
        <v>150700</v>
      </c>
      <c r="P20" s="605">
        <v>150700</v>
      </c>
      <c r="Q20" s="981">
        <f>SUBTOTAL(9,E20:P20)</f>
        <v>1777600</v>
      </c>
      <c r="R20" s="605">
        <v>137280</v>
      </c>
      <c r="S20" s="605">
        <f>38650*0.15*12</f>
        <v>69570</v>
      </c>
      <c r="T20" s="605"/>
      <c r="U20" s="605"/>
      <c r="V20" s="605"/>
      <c r="W20" s="605"/>
      <c r="X20" s="783"/>
      <c r="Y20" s="977">
        <f>+Q20+R20+S20+T20+U20+V20+W20+X20</f>
        <v>1984450</v>
      </c>
      <c r="Z20" s="955"/>
      <c r="AA20" s="956">
        <v>5000</v>
      </c>
      <c r="AB20" s="956"/>
      <c r="AC20" s="982" t="s">
        <v>1497</v>
      </c>
      <c r="AD20" s="983"/>
    </row>
    <row r="21" spans="1:30" ht="15">
      <c r="A21" s="959"/>
      <c r="B21" s="304"/>
      <c r="C21" s="469"/>
      <c r="D21" s="966"/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12"/>
      <c r="R21" s="605"/>
      <c r="S21" s="605"/>
      <c r="T21" s="605"/>
      <c r="U21" s="605"/>
      <c r="V21" s="605"/>
      <c r="W21" s="605"/>
      <c r="X21" s="783"/>
      <c r="Y21" s="977"/>
      <c r="Z21" s="955"/>
      <c r="AA21" s="956"/>
      <c r="AB21" s="956"/>
      <c r="AC21" s="982"/>
      <c r="AD21" s="983"/>
    </row>
    <row r="22" spans="1:30" ht="15">
      <c r="A22" s="959"/>
      <c r="B22" s="304" t="s">
        <v>987</v>
      </c>
      <c r="C22" s="974" t="s">
        <v>612</v>
      </c>
      <c r="D22" s="963">
        <v>1410600</v>
      </c>
      <c r="E22" s="605"/>
      <c r="F22" s="605"/>
      <c r="G22" s="605">
        <v>150700</v>
      </c>
      <c r="H22" s="605">
        <v>150700</v>
      </c>
      <c r="I22" s="605">
        <v>150700</v>
      </c>
      <c r="J22" s="605">
        <v>150700</v>
      </c>
      <c r="K22" s="605">
        <v>150700</v>
      </c>
      <c r="L22" s="605">
        <v>150700</v>
      </c>
      <c r="M22" s="605">
        <v>150700</v>
      </c>
      <c r="N22" s="605">
        <v>150700</v>
      </c>
      <c r="O22" s="605">
        <v>150700</v>
      </c>
      <c r="P22" s="605">
        <v>150700</v>
      </c>
      <c r="Q22" s="612">
        <f>SUM(G22:P22)</f>
        <v>1507000</v>
      </c>
      <c r="R22" s="605"/>
      <c r="S22" s="605"/>
      <c r="T22" s="605"/>
      <c r="U22" s="605"/>
      <c r="V22" s="605"/>
      <c r="W22" s="605"/>
      <c r="X22" s="783"/>
      <c r="Y22" s="977"/>
      <c r="Z22" s="955"/>
      <c r="AA22" s="956"/>
      <c r="AB22" s="956"/>
      <c r="AC22" s="982"/>
      <c r="AD22" s="983"/>
    </row>
    <row r="23" spans="1:31" ht="15">
      <c r="A23" s="959"/>
      <c r="B23" s="973" t="s">
        <v>107</v>
      </c>
      <c r="C23" s="974" t="s">
        <v>612</v>
      </c>
      <c r="D23" s="963">
        <v>1410600</v>
      </c>
      <c r="E23" s="605"/>
      <c r="F23" s="605"/>
      <c r="G23" s="605"/>
      <c r="H23" s="605"/>
      <c r="I23" s="605">
        <v>50300</v>
      </c>
      <c r="J23" s="605">
        <v>150700</v>
      </c>
      <c r="K23" s="605">
        <v>150700</v>
      </c>
      <c r="L23" s="605">
        <v>150700</v>
      </c>
      <c r="M23" s="605">
        <v>150700</v>
      </c>
      <c r="N23" s="605">
        <v>150700</v>
      </c>
      <c r="O23" s="605">
        <v>150700</v>
      </c>
      <c r="P23" s="605">
        <v>150700</v>
      </c>
      <c r="Q23" s="612">
        <f>SUM(I23:P23)</f>
        <v>1105200</v>
      </c>
      <c r="R23" s="605"/>
      <c r="S23" s="605"/>
      <c r="T23" s="605"/>
      <c r="U23" s="605"/>
      <c r="V23" s="605"/>
      <c r="W23" s="605"/>
      <c r="X23" s="783"/>
      <c r="Y23" s="977"/>
      <c r="Z23" s="955"/>
      <c r="AA23" s="956"/>
      <c r="AB23" s="956"/>
      <c r="AC23" s="982"/>
      <c r="AD23" s="983"/>
      <c r="AE23" s="22"/>
    </row>
    <row r="24" spans="1:31" ht="15">
      <c r="A24" s="959"/>
      <c r="B24" s="303" t="s">
        <v>200</v>
      </c>
      <c r="C24" s="469" t="s">
        <v>610</v>
      </c>
      <c r="D24" s="963">
        <v>1410600</v>
      </c>
      <c r="E24" s="605">
        <v>150700</v>
      </c>
      <c r="F24" s="605">
        <v>150700</v>
      </c>
      <c r="G24" s="605">
        <v>150700</v>
      </c>
      <c r="H24" s="605">
        <v>150700</v>
      </c>
      <c r="I24" s="605">
        <v>150700</v>
      </c>
      <c r="J24" s="605">
        <v>150700</v>
      </c>
      <c r="K24" s="605">
        <v>150700</v>
      </c>
      <c r="L24" s="605">
        <v>150700</v>
      </c>
      <c r="M24" s="605">
        <v>150700</v>
      </c>
      <c r="N24" s="605">
        <v>150700</v>
      </c>
      <c r="O24" s="605">
        <v>150700</v>
      </c>
      <c r="P24" s="605">
        <v>150700</v>
      </c>
      <c r="Q24" s="612">
        <f>SUBTOTAL(9,E24:P24)</f>
        <v>1808400</v>
      </c>
      <c r="R24" s="605"/>
      <c r="S24" s="605">
        <f>38650*12</f>
        <v>463800</v>
      </c>
      <c r="T24" s="605"/>
      <c r="U24" s="605"/>
      <c r="V24" s="605"/>
      <c r="W24" s="605"/>
      <c r="X24" s="783"/>
      <c r="Y24" s="977">
        <f aca="true" t="shared" si="4" ref="Y24:Y99">+Q24+R24+S24+T24+U24+V24+W24+X24</f>
        <v>2272200</v>
      </c>
      <c r="Z24" s="955"/>
      <c r="AA24" s="956">
        <v>5000</v>
      </c>
      <c r="AB24" s="956"/>
      <c r="AC24" s="984"/>
      <c r="AD24" s="983"/>
      <c r="AE24" s="22"/>
    </row>
    <row r="25" spans="1:31" ht="15">
      <c r="A25" s="959"/>
      <c r="B25" s="304" t="s">
        <v>1504</v>
      </c>
      <c r="C25" s="469" t="s">
        <v>612</v>
      </c>
      <c r="D25" s="966">
        <v>1410600</v>
      </c>
      <c r="E25" s="605">
        <v>150700</v>
      </c>
      <c r="F25" s="605">
        <v>150700</v>
      </c>
      <c r="G25" s="605">
        <v>150700</v>
      </c>
      <c r="H25" s="605">
        <v>150700</v>
      </c>
      <c r="I25" s="605">
        <v>150700</v>
      </c>
      <c r="J25" s="605">
        <v>150700</v>
      </c>
      <c r="K25" s="605">
        <v>150700</v>
      </c>
      <c r="L25" s="605">
        <v>150700</v>
      </c>
      <c r="M25" s="605">
        <v>150700</v>
      </c>
      <c r="N25" s="605">
        <v>150700</v>
      </c>
      <c r="O25" s="605">
        <v>150700</v>
      </c>
      <c r="P25" s="605">
        <v>150700</v>
      </c>
      <c r="Q25" s="612">
        <f>SUBTOTAL(9,E25:P25)</f>
        <v>1808400</v>
      </c>
      <c r="R25" s="605"/>
      <c r="S25" s="605">
        <f>38650*12</f>
        <v>463800</v>
      </c>
      <c r="T25" s="605"/>
      <c r="U25" s="605"/>
      <c r="V25" s="605"/>
      <c r="W25" s="605"/>
      <c r="X25" s="783"/>
      <c r="Y25" s="977">
        <f t="shared" si="4"/>
        <v>2272200</v>
      </c>
      <c r="Z25" s="955"/>
      <c r="AA25" s="956">
        <v>5000</v>
      </c>
      <c r="AB25" s="956"/>
      <c r="AC25" s="982"/>
      <c r="AD25" s="983"/>
      <c r="AE25" s="22"/>
    </row>
    <row r="26" spans="1:31" ht="15">
      <c r="A26" s="959"/>
      <c r="B26" s="953" t="s">
        <v>203</v>
      </c>
      <c r="C26" s="970" t="s">
        <v>612</v>
      </c>
      <c r="D26" s="971">
        <v>1410600</v>
      </c>
      <c r="E26" s="972">
        <v>150700</v>
      </c>
      <c r="F26" s="972">
        <v>150700</v>
      </c>
      <c r="G26" s="972">
        <v>150700</v>
      </c>
      <c r="H26" s="972">
        <v>150700</v>
      </c>
      <c r="I26" s="972">
        <v>150700</v>
      </c>
      <c r="J26" s="972">
        <v>150700</v>
      </c>
      <c r="K26" s="972">
        <v>150700</v>
      </c>
      <c r="L26" s="972">
        <v>150700</v>
      </c>
      <c r="M26" s="972">
        <v>150700</v>
      </c>
      <c r="N26" s="972">
        <v>150700</v>
      </c>
      <c r="O26" s="972">
        <v>150700</v>
      </c>
      <c r="P26" s="972">
        <v>150700</v>
      </c>
      <c r="Q26" s="612">
        <f>SUBTOTAL(9,E26:P26)</f>
        <v>1808400</v>
      </c>
      <c r="R26" s="972"/>
      <c r="S26" s="954">
        <f>38650*0.6*12</f>
        <v>278280</v>
      </c>
      <c r="T26" s="972"/>
      <c r="U26" s="972"/>
      <c r="V26" s="972"/>
      <c r="W26" s="972"/>
      <c r="X26" s="979"/>
      <c r="Y26" s="977">
        <f t="shared" si="4"/>
        <v>2086680</v>
      </c>
      <c r="Z26" s="955"/>
      <c r="AA26" s="956">
        <v>5000</v>
      </c>
      <c r="AB26" s="956"/>
      <c r="AC26" s="984"/>
      <c r="AD26" s="983"/>
      <c r="AE26" s="22"/>
    </row>
    <row r="27" spans="1:31" ht="15">
      <c r="A27" s="959"/>
      <c r="B27" s="304" t="s">
        <v>1985</v>
      </c>
      <c r="C27" s="469" t="s">
        <v>614</v>
      </c>
      <c r="D27" s="966">
        <v>1410600</v>
      </c>
      <c r="E27" s="605">
        <v>150700</v>
      </c>
      <c r="F27" s="605">
        <v>150700</v>
      </c>
      <c r="G27" s="605">
        <v>150700</v>
      </c>
      <c r="H27" s="605">
        <v>150700</v>
      </c>
      <c r="I27" s="605">
        <v>150700</v>
      </c>
      <c r="J27" s="605">
        <v>150700</v>
      </c>
      <c r="K27" s="605">
        <v>150700</v>
      </c>
      <c r="L27" s="605">
        <v>68500</v>
      </c>
      <c r="M27" s="605"/>
      <c r="N27" s="605"/>
      <c r="O27" s="605"/>
      <c r="P27" s="605"/>
      <c r="Q27" s="612">
        <f>SUM(E27:P27)</f>
        <v>1123400</v>
      </c>
      <c r="R27" s="605"/>
      <c r="S27" s="605">
        <f>38650*0.6*12</f>
        <v>278280</v>
      </c>
      <c r="T27" s="605"/>
      <c r="U27" s="605"/>
      <c r="V27" s="605"/>
      <c r="W27" s="605"/>
      <c r="X27" s="783"/>
      <c r="Y27" s="977">
        <f t="shared" si="4"/>
        <v>1401680</v>
      </c>
      <c r="Z27" s="955"/>
      <c r="AA27" s="956">
        <v>5000</v>
      </c>
      <c r="AB27" s="956"/>
      <c r="AC27" s="956"/>
      <c r="AD27" s="983"/>
      <c r="AE27" s="22"/>
    </row>
    <row r="28" spans="1:31" ht="15">
      <c r="A28" s="959"/>
      <c r="B28" s="304" t="s">
        <v>1433</v>
      </c>
      <c r="C28" s="469"/>
      <c r="D28" s="966"/>
      <c r="E28" s="605"/>
      <c r="F28" s="605"/>
      <c r="G28" s="605"/>
      <c r="H28" s="605"/>
      <c r="I28" s="605"/>
      <c r="J28" s="605"/>
      <c r="K28" s="605"/>
      <c r="L28" s="605"/>
      <c r="M28" s="605"/>
      <c r="N28" s="605"/>
      <c r="O28" s="605"/>
      <c r="P28" s="605"/>
      <c r="Q28" s="981">
        <f>SUM(Q22:Q27)</f>
        <v>9160800</v>
      </c>
      <c r="R28" s="605"/>
      <c r="S28" s="605"/>
      <c r="T28" s="605"/>
      <c r="U28" s="605"/>
      <c r="V28" s="605"/>
      <c r="W28" s="605"/>
      <c r="X28" s="783"/>
      <c r="Y28" s="977"/>
      <c r="Z28" s="955"/>
      <c r="AA28" s="956"/>
      <c r="AB28" s="956"/>
      <c r="AC28" s="956"/>
      <c r="AD28" s="983"/>
      <c r="AE28" s="22"/>
    </row>
    <row r="29" spans="1:31" ht="15">
      <c r="A29" s="959"/>
      <c r="B29" s="304"/>
      <c r="C29" s="469"/>
      <c r="D29" s="966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605"/>
      <c r="P29" s="605"/>
      <c r="Q29" s="612"/>
      <c r="R29" s="605"/>
      <c r="S29" s="605"/>
      <c r="T29" s="605"/>
      <c r="U29" s="605"/>
      <c r="V29" s="605"/>
      <c r="W29" s="605"/>
      <c r="X29" s="783"/>
      <c r="Y29" s="977"/>
      <c r="Z29" s="955"/>
      <c r="AA29" s="956"/>
      <c r="AB29" s="956"/>
      <c r="AC29" s="956"/>
      <c r="AD29" s="983"/>
      <c r="AE29" s="22"/>
    </row>
    <row r="30" spans="1:31" ht="15">
      <c r="A30" s="959"/>
      <c r="B30" s="304" t="s">
        <v>1985</v>
      </c>
      <c r="C30" s="469"/>
      <c r="D30" s="966">
        <v>1410700</v>
      </c>
      <c r="E30" s="605"/>
      <c r="F30" s="605"/>
      <c r="G30" s="605"/>
      <c r="H30" s="605"/>
      <c r="I30" s="605"/>
      <c r="J30" s="605"/>
      <c r="K30" s="605"/>
      <c r="L30" s="605">
        <v>88600</v>
      </c>
      <c r="M30" s="605">
        <v>162300</v>
      </c>
      <c r="N30" s="605">
        <v>162300</v>
      </c>
      <c r="O30" s="605">
        <v>162300</v>
      </c>
      <c r="P30" s="605">
        <v>162300</v>
      </c>
      <c r="Q30" s="612">
        <f>SUM(L30:P30)</f>
        <v>737800</v>
      </c>
      <c r="R30" s="605"/>
      <c r="S30" s="605"/>
      <c r="T30" s="605"/>
      <c r="U30" s="605"/>
      <c r="V30" s="605"/>
      <c r="W30" s="605"/>
      <c r="X30" s="783"/>
      <c r="Y30" s="977"/>
      <c r="Z30" s="955"/>
      <c r="AA30" s="956"/>
      <c r="AB30" s="956"/>
      <c r="AC30" s="956"/>
      <c r="AD30" s="983"/>
      <c r="AE30" s="22"/>
    </row>
    <row r="31" spans="1:31" ht="15">
      <c r="A31" s="959"/>
      <c r="B31" s="304" t="s">
        <v>1808</v>
      </c>
      <c r="C31" s="469" t="s">
        <v>612</v>
      </c>
      <c r="D31" s="966">
        <v>1410700</v>
      </c>
      <c r="E31" s="605">
        <v>162300</v>
      </c>
      <c r="F31" s="605">
        <v>162300</v>
      </c>
      <c r="G31" s="605">
        <v>162300</v>
      </c>
      <c r="H31" s="605">
        <v>162300</v>
      </c>
      <c r="I31" s="605">
        <v>162300</v>
      </c>
      <c r="J31" s="605">
        <v>162300</v>
      </c>
      <c r="K31" s="605">
        <v>162300</v>
      </c>
      <c r="L31" s="605">
        <v>162300</v>
      </c>
      <c r="M31" s="605">
        <v>162300</v>
      </c>
      <c r="N31" s="605">
        <v>162300</v>
      </c>
      <c r="O31" s="605">
        <v>162300</v>
      </c>
      <c r="P31" s="605"/>
      <c r="Q31" s="612">
        <f>SUBTOTAL(9,E31:P31)</f>
        <v>1785300</v>
      </c>
      <c r="R31" s="605"/>
      <c r="S31" s="605">
        <f>38650*0.6*12</f>
        <v>278280</v>
      </c>
      <c r="T31" s="605"/>
      <c r="U31" s="605"/>
      <c r="V31" s="605"/>
      <c r="W31" s="605"/>
      <c r="X31" s="783"/>
      <c r="Y31" s="977">
        <f t="shared" si="4"/>
        <v>2063580</v>
      </c>
      <c r="Z31" s="955"/>
      <c r="AA31" s="956">
        <v>5000</v>
      </c>
      <c r="AB31" s="956"/>
      <c r="AC31" s="985" t="s">
        <v>1505</v>
      </c>
      <c r="AD31" s="983"/>
      <c r="AE31" s="22"/>
    </row>
    <row r="32" spans="1:31" ht="15">
      <c r="A32" s="959"/>
      <c r="B32" s="304"/>
      <c r="C32" s="469"/>
      <c r="D32" s="966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  <c r="P32" s="605"/>
      <c r="Q32" s="981">
        <f>SUM(Q30:Q31)</f>
        <v>2523100</v>
      </c>
      <c r="R32" s="605"/>
      <c r="S32" s="605"/>
      <c r="T32" s="605"/>
      <c r="U32" s="605"/>
      <c r="V32" s="605"/>
      <c r="W32" s="605"/>
      <c r="X32" s="783"/>
      <c r="Y32" s="977"/>
      <c r="Z32" s="955"/>
      <c r="AA32" s="956"/>
      <c r="AB32" s="956"/>
      <c r="AC32" s="985"/>
      <c r="AD32" s="983"/>
      <c r="AE32" s="22"/>
    </row>
    <row r="33" spans="1:31" ht="15">
      <c r="A33" s="959"/>
      <c r="B33" s="304" t="s">
        <v>1808</v>
      </c>
      <c r="C33" s="469" t="s">
        <v>612</v>
      </c>
      <c r="D33" s="966">
        <v>141800</v>
      </c>
      <c r="E33" s="605"/>
      <c r="F33" s="605"/>
      <c r="G33" s="605"/>
      <c r="H33" s="605"/>
      <c r="I33" s="605"/>
      <c r="J33" s="605"/>
      <c r="K33" s="605"/>
      <c r="L33" s="605"/>
      <c r="M33" s="605"/>
      <c r="N33" s="605"/>
      <c r="O33" s="605"/>
      <c r="P33" s="605">
        <v>170100</v>
      </c>
      <c r="Q33" s="981">
        <f>SUM(P33)</f>
        <v>170100</v>
      </c>
      <c r="R33" s="605"/>
      <c r="S33" s="605"/>
      <c r="T33" s="605"/>
      <c r="U33" s="605"/>
      <c r="V33" s="605"/>
      <c r="W33" s="605"/>
      <c r="X33" s="783"/>
      <c r="Y33" s="977"/>
      <c r="Z33" s="955"/>
      <c r="AA33" s="956"/>
      <c r="AB33" s="956"/>
      <c r="AC33" s="985"/>
      <c r="AD33" s="983"/>
      <c r="AE33" s="22"/>
    </row>
    <row r="34" spans="1:31" ht="15">
      <c r="A34" s="959"/>
      <c r="B34" s="304"/>
      <c r="C34" s="469"/>
      <c r="D34" s="966"/>
      <c r="E34" s="605"/>
      <c r="F34" s="605"/>
      <c r="G34" s="605"/>
      <c r="H34" s="605"/>
      <c r="I34" s="605"/>
      <c r="J34" s="605"/>
      <c r="K34" s="605"/>
      <c r="L34" s="605"/>
      <c r="M34" s="605"/>
      <c r="N34" s="605"/>
      <c r="O34" s="605"/>
      <c r="P34" s="605"/>
      <c r="Q34" s="612"/>
      <c r="R34" s="605"/>
      <c r="S34" s="605"/>
      <c r="T34" s="605"/>
      <c r="U34" s="605"/>
      <c r="V34" s="605"/>
      <c r="W34" s="605"/>
      <c r="X34" s="783"/>
      <c r="Y34" s="977"/>
      <c r="Z34" s="955"/>
      <c r="AA34" s="956"/>
      <c r="AB34" s="956"/>
      <c r="AC34" s="985"/>
      <c r="AD34" s="983"/>
      <c r="AE34" s="22"/>
    </row>
    <row r="35" spans="1:31" ht="15">
      <c r="A35" s="959"/>
      <c r="B35" s="304" t="s">
        <v>1809</v>
      </c>
      <c r="C35" s="469" t="s">
        <v>617</v>
      </c>
      <c r="D35" s="966">
        <v>1411000</v>
      </c>
      <c r="E35" s="605">
        <v>185500</v>
      </c>
      <c r="F35" s="605">
        <v>185500</v>
      </c>
      <c r="G35" s="605">
        <v>185500</v>
      </c>
      <c r="H35" s="605">
        <v>185500</v>
      </c>
      <c r="I35" s="605">
        <v>185500</v>
      </c>
      <c r="J35" s="605">
        <v>185500</v>
      </c>
      <c r="K35" s="605">
        <v>185500</v>
      </c>
      <c r="L35" s="605">
        <v>185500</v>
      </c>
      <c r="M35" s="605">
        <v>185500</v>
      </c>
      <c r="N35" s="605">
        <v>185500</v>
      </c>
      <c r="O35" s="605">
        <v>185500</v>
      </c>
      <c r="P35" s="605">
        <v>185500</v>
      </c>
      <c r="Q35" s="981">
        <f>SUBTOTAL(9,E35:P35)</f>
        <v>2226000</v>
      </c>
      <c r="R35" s="605"/>
      <c r="S35" s="605"/>
      <c r="T35" s="605"/>
      <c r="U35" s="605"/>
      <c r="V35" s="605"/>
      <c r="W35" s="605"/>
      <c r="X35" s="783"/>
      <c r="Y35" s="977">
        <f t="shared" si="4"/>
        <v>2226000</v>
      </c>
      <c r="Z35" s="792"/>
      <c r="AA35" s="956">
        <v>5000</v>
      </c>
      <c r="AB35" s="956"/>
      <c r="AC35" s="982" t="s">
        <v>1507</v>
      </c>
      <c r="AD35" s="983"/>
      <c r="AE35" s="22"/>
    </row>
    <row r="36" spans="1:31" ht="15">
      <c r="A36" s="959"/>
      <c r="B36" s="304"/>
      <c r="C36" s="469"/>
      <c r="D36" s="966"/>
      <c r="E36" s="605"/>
      <c r="F36" s="605"/>
      <c r="G36" s="605"/>
      <c r="H36" s="605"/>
      <c r="I36" s="605"/>
      <c r="J36" s="605"/>
      <c r="K36" s="605"/>
      <c r="L36" s="605"/>
      <c r="M36" s="605"/>
      <c r="N36" s="605"/>
      <c r="O36" s="605"/>
      <c r="P36" s="605"/>
      <c r="Q36" s="612"/>
      <c r="R36" s="605"/>
      <c r="S36" s="605"/>
      <c r="T36" s="605"/>
      <c r="U36" s="605"/>
      <c r="V36" s="605"/>
      <c r="W36" s="605"/>
      <c r="X36" s="783"/>
      <c r="Y36" s="977"/>
      <c r="Z36" s="792"/>
      <c r="AA36" s="956"/>
      <c r="AB36" s="956"/>
      <c r="AC36" s="982"/>
      <c r="AD36" s="983"/>
      <c r="AE36" s="22"/>
    </row>
    <row r="37" spans="1:31" ht="15">
      <c r="A37" s="959"/>
      <c r="B37" s="304" t="s">
        <v>607</v>
      </c>
      <c r="C37" s="469" t="s">
        <v>617</v>
      </c>
      <c r="D37" s="963">
        <v>1411100</v>
      </c>
      <c r="E37" s="605">
        <v>197100</v>
      </c>
      <c r="F37" s="605">
        <v>197100</v>
      </c>
      <c r="G37" s="605">
        <v>197100</v>
      </c>
      <c r="H37" s="605">
        <v>197100</v>
      </c>
      <c r="I37" s="605">
        <v>197100</v>
      </c>
      <c r="J37" s="605">
        <v>197100</v>
      </c>
      <c r="K37" s="605">
        <v>197100</v>
      </c>
      <c r="L37" s="605">
        <v>197100</v>
      </c>
      <c r="M37" s="605">
        <v>197100</v>
      </c>
      <c r="N37" s="605">
        <v>197100</v>
      </c>
      <c r="O37" s="605">
        <v>197100</v>
      </c>
      <c r="P37" s="605">
        <v>197100</v>
      </c>
      <c r="Q37" s="612">
        <f>SUBTOTAL(9,E37:P37)</f>
        <v>2365200</v>
      </c>
      <c r="R37" s="605"/>
      <c r="S37" s="605"/>
      <c r="T37" s="605"/>
      <c r="U37" s="605"/>
      <c r="V37" s="605"/>
      <c r="W37" s="605"/>
      <c r="X37" s="783"/>
      <c r="Y37" s="977">
        <f t="shared" si="4"/>
        <v>2365200</v>
      </c>
      <c r="Z37" s="792"/>
      <c r="AA37" s="956">
        <v>5000</v>
      </c>
      <c r="AB37" s="956"/>
      <c r="AC37" s="956"/>
      <c r="AD37" s="983"/>
      <c r="AE37" s="22"/>
    </row>
    <row r="38" spans="1:31" ht="15">
      <c r="A38" s="959"/>
      <c r="B38" s="304" t="s">
        <v>480</v>
      </c>
      <c r="C38" s="469"/>
      <c r="D38" s="963"/>
      <c r="E38" s="605"/>
      <c r="F38" s="605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981">
        <f>SUM(Q37:Q37)</f>
        <v>2365200</v>
      </c>
      <c r="R38" s="605"/>
      <c r="S38" s="605"/>
      <c r="T38" s="605"/>
      <c r="U38" s="605"/>
      <c r="V38" s="605"/>
      <c r="W38" s="605"/>
      <c r="X38" s="783"/>
      <c r="Y38" s="977"/>
      <c r="Z38" s="792"/>
      <c r="AA38" s="956"/>
      <c r="AB38" s="956"/>
      <c r="AC38" s="956"/>
      <c r="AD38" s="983"/>
      <c r="AE38" s="22"/>
    </row>
    <row r="39" spans="1:31" ht="15">
      <c r="A39" s="959"/>
      <c r="B39" s="304"/>
      <c r="C39" s="469"/>
      <c r="D39" s="963"/>
      <c r="E39" s="605"/>
      <c r="F39" s="605"/>
      <c r="G39" s="605"/>
      <c r="H39" s="605"/>
      <c r="I39" s="605"/>
      <c r="J39" s="605"/>
      <c r="K39" s="605"/>
      <c r="L39" s="605"/>
      <c r="M39" s="605"/>
      <c r="N39" s="605"/>
      <c r="O39" s="605"/>
      <c r="P39" s="605"/>
      <c r="Q39" s="612"/>
      <c r="R39" s="605"/>
      <c r="S39" s="605"/>
      <c r="T39" s="605"/>
      <c r="U39" s="605"/>
      <c r="V39" s="605"/>
      <c r="W39" s="605"/>
      <c r="X39" s="783"/>
      <c r="Y39" s="977"/>
      <c r="Z39" s="792"/>
      <c r="AA39" s="956"/>
      <c r="AB39" s="956"/>
      <c r="AC39" s="956"/>
      <c r="AD39" s="983"/>
      <c r="AE39" s="22"/>
    </row>
    <row r="40" spans="1:31" ht="15">
      <c r="A40" s="959"/>
      <c r="B40" s="304" t="s">
        <v>1163</v>
      </c>
      <c r="C40" s="469" t="s">
        <v>608</v>
      </c>
      <c r="D40" s="966">
        <v>1411200</v>
      </c>
      <c r="E40" s="605">
        <v>201000</v>
      </c>
      <c r="F40" s="605">
        <v>201000</v>
      </c>
      <c r="G40" s="605">
        <v>201000</v>
      </c>
      <c r="H40" s="605">
        <v>201000</v>
      </c>
      <c r="I40" s="605">
        <v>201000</v>
      </c>
      <c r="J40" s="605">
        <v>201000</v>
      </c>
      <c r="K40" s="605">
        <v>201000</v>
      </c>
      <c r="L40" s="605">
        <v>201000</v>
      </c>
      <c r="M40" s="605">
        <v>201000</v>
      </c>
      <c r="N40" s="605">
        <v>201000</v>
      </c>
      <c r="O40" s="605">
        <v>201000</v>
      </c>
      <c r="P40" s="605">
        <v>201000</v>
      </c>
      <c r="Q40" s="981">
        <f>SUBTOTAL(9,E40:P40)</f>
        <v>2412000</v>
      </c>
      <c r="R40" s="605"/>
      <c r="S40" s="605"/>
      <c r="T40" s="605"/>
      <c r="U40" s="605"/>
      <c r="V40" s="605"/>
      <c r="W40" s="605"/>
      <c r="X40" s="783"/>
      <c r="Y40" s="977">
        <f t="shared" si="4"/>
        <v>2412000</v>
      </c>
      <c r="Z40" s="792"/>
      <c r="AA40" s="956">
        <v>5000</v>
      </c>
      <c r="AB40" s="956"/>
      <c r="AC40" s="984"/>
      <c r="AD40" s="983"/>
      <c r="AE40" s="22"/>
    </row>
    <row r="41" spans="1:31" ht="15">
      <c r="A41" s="959"/>
      <c r="B41" s="304"/>
      <c r="C41" s="469"/>
      <c r="D41" s="966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12"/>
      <c r="R41" s="605"/>
      <c r="S41" s="605"/>
      <c r="T41" s="605"/>
      <c r="U41" s="605"/>
      <c r="V41" s="605"/>
      <c r="W41" s="605"/>
      <c r="X41" s="783"/>
      <c r="Y41" s="977"/>
      <c r="Z41" s="792"/>
      <c r="AA41" s="956"/>
      <c r="AB41" s="956"/>
      <c r="AC41" s="984"/>
      <c r="AD41" s="983"/>
      <c r="AE41" s="22"/>
    </row>
    <row r="42" spans="1:31" ht="15">
      <c r="A42" s="959"/>
      <c r="B42" s="304" t="s">
        <v>1506</v>
      </c>
      <c r="C42" s="469" t="s">
        <v>617</v>
      </c>
      <c r="D42" s="966">
        <v>1411300</v>
      </c>
      <c r="E42" s="605">
        <v>204800</v>
      </c>
      <c r="F42" s="605">
        <v>204800</v>
      </c>
      <c r="G42" s="605">
        <v>204800</v>
      </c>
      <c r="H42" s="605">
        <v>204800</v>
      </c>
      <c r="I42" s="605">
        <v>204800</v>
      </c>
      <c r="J42" s="605">
        <v>204800</v>
      </c>
      <c r="K42" s="605">
        <v>204800</v>
      </c>
      <c r="L42" s="605">
        <v>204800</v>
      </c>
      <c r="M42" s="605">
        <v>204800</v>
      </c>
      <c r="N42" s="605">
        <v>204800</v>
      </c>
      <c r="O42" s="605">
        <v>204800</v>
      </c>
      <c r="P42" s="605">
        <v>204800</v>
      </c>
      <c r="Q42" s="981">
        <f>SUBTOTAL(9,E42:P42)</f>
        <v>2457600</v>
      </c>
      <c r="R42" s="605"/>
      <c r="S42" s="605"/>
      <c r="T42" s="605"/>
      <c r="U42" s="605"/>
      <c r="V42" s="605"/>
      <c r="W42" s="605">
        <f>M42*3</f>
        <v>614400</v>
      </c>
      <c r="X42" s="783"/>
      <c r="Y42" s="977">
        <f t="shared" si="4"/>
        <v>3072000</v>
      </c>
      <c r="Z42" s="792"/>
      <c r="AA42" s="956">
        <v>5000</v>
      </c>
      <c r="AB42" s="956"/>
      <c r="AC42" s="982" t="s">
        <v>1771</v>
      </c>
      <c r="AD42" s="983"/>
      <c r="AE42" s="22"/>
    </row>
    <row r="43" spans="1:31" ht="15">
      <c r="A43" s="959"/>
      <c r="B43" s="304"/>
      <c r="C43" s="469"/>
      <c r="D43" s="966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12"/>
      <c r="R43" s="605"/>
      <c r="S43" s="605"/>
      <c r="T43" s="605"/>
      <c r="U43" s="605"/>
      <c r="V43" s="605"/>
      <c r="W43" s="605"/>
      <c r="X43" s="783"/>
      <c r="Y43" s="977"/>
      <c r="Z43" s="792"/>
      <c r="AA43" s="956"/>
      <c r="AB43" s="956"/>
      <c r="AC43" s="982"/>
      <c r="AD43" s="983"/>
      <c r="AE43" s="22"/>
    </row>
    <row r="44" spans="1:31" ht="15">
      <c r="A44" s="959"/>
      <c r="B44" s="304" t="s">
        <v>1406</v>
      </c>
      <c r="C44" s="469" t="s">
        <v>609</v>
      </c>
      <c r="D44" s="963">
        <v>1411500</v>
      </c>
      <c r="E44" s="605">
        <v>220300</v>
      </c>
      <c r="F44" s="605">
        <v>220300</v>
      </c>
      <c r="G44" s="605">
        <v>220300</v>
      </c>
      <c r="H44" s="605">
        <v>220300</v>
      </c>
      <c r="I44" s="605">
        <v>220300</v>
      </c>
      <c r="J44" s="605">
        <v>220300</v>
      </c>
      <c r="K44" s="605">
        <v>220300</v>
      </c>
      <c r="L44" s="605"/>
      <c r="M44" s="605"/>
      <c r="N44" s="605"/>
      <c r="O44" s="605"/>
      <c r="P44" s="605"/>
      <c r="Q44" s="981">
        <f>SUBTOTAL(9,E44:P44)</f>
        <v>1542100</v>
      </c>
      <c r="R44" s="605"/>
      <c r="S44" s="605"/>
      <c r="T44" s="605"/>
      <c r="U44" s="605"/>
      <c r="V44" s="605"/>
      <c r="W44" s="605"/>
      <c r="X44" s="783"/>
      <c r="Y44" s="977">
        <f t="shared" si="4"/>
        <v>1542100</v>
      </c>
      <c r="Z44" s="792"/>
      <c r="AA44" s="956">
        <v>5000</v>
      </c>
      <c r="AB44" s="956"/>
      <c r="AC44" s="982" t="s">
        <v>1500</v>
      </c>
      <c r="AD44" s="983"/>
      <c r="AE44" s="22"/>
    </row>
    <row r="45" spans="1:31" ht="15">
      <c r="A45" s="959"/>
      <c r="B45" s="304"/>
      <c r="C45" s="469"/>
      <c r="D45" s="963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P45" s="605"/>
      <c r="Q45" s="612"/>
      <c r="R45" s="605"/>
      <c r="S45" s="605"/>
      <c r="T45" s="605"/>
      <c r="U45" s="605"/>
      <c r="V45" s="605"/>
      <c r="W45" s="605"/>
      <c r="X45" s="783"/>
      <c r="Y45" s="977"/>
      <c r="Z45" s="792"/>
      <c r="AA45" s="956"/>
      <c r="AB45" s="956"/>
      <c r="AC45" s="982"/>
      <c r="AD45" s="983"/>
      <c r="AE45" s="22"/>
    </row>
    <row r="46" spans="1:31" ht="15">
      <c r="A46" s="959"/>
      <c r="B46" s="304" t="s">
        <v>1406</v>
      </c>
      <c r="C46" s="469" t="s">
        <v>609</v>
      </c>
      <c r="D46" s="963">
        <v>1411600</v>
      </c>
      <c r="E46" s="605"/>
      <c r="F46" s="605"/>
      <c r="G46" s="605"/>
      <c r="H46" s="605"/>
      <c r="I46" s="605"/>
      <c r="J46" s="605"/>
      <c r="K46" s="605"/>
      <c r="L46" s="605">
        <v>224200</v>
      </c>
      <c r="M46" s="605">
        <v>224200</v>
      </c>
      <c r="N46" s="605">
        <v>224200</v>
      </c>
      <c r="O46" s="605">
        <v>224200</v>
      </c>
      <c r="P46" s="605">
        <v>224200</v>
      </c>
      <c r="Q46" s="981">
        <f>SUM(L46:P46)</f>
        <v>1121000</v>
      </c>
      <c r="R46" s="605"/>
      <c r="S46" s="605"/>
      <c r="T46" s="605"/>
      <c r="U46" s="605"/>
      <c r="V46" s="605"/>
      <c r="W46" s="605"/>
      <c r="X46" s="783"/>
      <c r="Y46" s="977"/>
      <c r="Z46" s="792"/>
      <c r="AA46" s="956"/>
      <c r="AB46" s="956"/>
      <c r="AC46" s="982"/>
      <c r="AD46" s="983"/>
      <c r="AE46" s="22"/>
    </row>
    <row r="47" spans="1:31" ht="15">
      <c r="A47" s="959"/>
      <c r="B47" s="304"/>
      <c r="C47" s="469"/>
      <c r="D47" s="963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12"/>
      <c r="R47" s="605"/>
      <c r="S47" s="605"/>
      <c r="T47" s="605"/>
      <c r="U47" s="605"/>
      <c r="V47" s="605"/>
      <c r="W47" s="605"/>
      <c r="X47" s="783"/>
      <c r="Y47" s="977"/>
      <c r="Z47" s="792"/>
      <c r="AA47" s="956"/>
      <c r="AB47" s="956"/>
      <c r="AC47" s="982"/>
      <c r="AD47" s="983"/>
      <c r="AE47" s="22"/>
    </row>
    <row r="48" spans="1:31" ht="15">
      <c r="A48" s="959"/>
      <c r="B48" s="303" t="s">
        <v>154</v>
      </c>
      <c r="C48" s="469" t="s">
        <v>608</v>
      </c>
      <c r="D48" s="966">
        <v>1411700</v>
      </c>
      <c r="E48" s="605">
        <v>231900</v>
      </c>
      <c r="F48" s="605">
        <v>231900</v>
      </c>
      <c r="G48" s="605">
        <v>231900</v>
      </c>
      <c r="H48" s="605">
        <v>231900</v>
      </c>
      <c r="I48" s="605">
        <v>231900</v>
      </c>
      <c r="J48" s="605">
        <v>231900</v>
      </c>
      <c r="K48" s="605">
        <v>231900</v>
      </c>
      <c r="L48" s="605">
        <v>231900</v>
      </c>
      <c r="M48" s="605">
        <v>231900</v>
      </c>
      <c r="N48" s="605">
        <v>231900</v>
      </c>
      <c r="O48" s="605">
        <v>231900</v>
      </c>
      <c r="P48" s="605">
        <v>231900</v>
      </c>
      <c r="Q48" s="981">
        <f>SUBTOTAL(9,E48:P48)</f>
        <v>2782800</v>
      </c>
      <c r="R48" s="605"/>
      <c r="S48" s="605"/>
      <c r="T48" s="605"/>
      <c r="U48" s="605"/>
      <c r="V48" s="605"/>
      <c r="W48" s="605">
        <f>L48*5</f>
        <v>1159500</v>
      </c>
      <c r="X48" s="783"/>
      <c r="Y48" s="977">
        <f t="shared" si="4"/>
        <v>3942300</v>
      </c>
      <c r="Z48" s="792"/>
      <c r="AA48" s="956">
        <v>5000</v>
      </c>
      <c r="AB48" s="956"/>
      <c r="AC48" s="986" t="s">
        <v>1772</v>
      </c>
      <c r="AD48" s="983"/>
      <c r="AE48" s="22"/>
    </row>
    <row r="49" spans="1:31" ht="15">
      <c r="A49" s="959"/>
      <c r="B49" s="303"/>
      <c r="C49" s="469"/>
      <c r="D49" s="966"/>
      <c r="E49" s="605"/>
      <c r="F49" s="605"/>
      <c r="G49" s="605"/>
      <c r="H49" s="605"/>
      <c r="I49" s="605"/>
      <c r="J49" s="605"/>
      <c r="K49" s="605"/>
      <c r="L49" s="605"/>
      <c r="M49" s="605"/>
      <c r="N49" s="605"/>
      <c r="O49" s="605"/>
      <c r="P49" s="605"/>
      <c r="Q49" s="612"/>
      <c r="R49" s="605"/>
      <c r="S49" s="605"/>
      <c r="T49" s="605"/>
      <c r="U49" s="605"/>
      <c r="V49" s="605"/>
      <c r="W49" s="605"/>
      <c r="X49" s="783"/>
      <c r="Y49" s="977"/>
      <c r="Z49" s="792"/>
      <c r="AA49" s="956"/>
      <c r="AB49" s="956"/>
      <c r="AC49" s="986"/>
      <c r="AD49" s="983"/>
      <c r="AE49" s="22"/>
    </row>
    <row r="50" spans="1:31" ht="15">
      <c r="A50" s="959"/>
      <c r="B50" s="304" t="s">
        <v>7</v>
      </c>
      <c r="C50" s="469" t="s">
        <v>612</v>
      </c>
      <c r="D50" s="966">
        <v>1420400</v>
      </c>
      <c r="E50" s="605">
        <v>94000</v>
      </c>
      <c r="F50" s="605">
        <v>108000</v>
      </c>
      <c r="G50" s="605">
        <v>108000</v>
      </c>
      <c r="H50" s="605">
        <v>108000</v>
      </c>
      <c r="I50" s="605">
        <v>108000</v>
      </c>
      <c r="J50" s="605">
        <v>108000</v>
      </c>
      <c r="K50" s="605">
        <v>108000</v>
      </c>
      <c r="L50" s="605">
        <v>108000</v>
      </c>
      <c r="M50" s="605">
        <v>108000</v>
      </c>
      <c r="N50" s="605">
        <v>108000</v>
      </c>
      <c r="O50" s="605">
        <v>108000</v>
      </c>
      <c r="P50" s="605">
        <v>108000</v>
      </c>
      <c r="Q50" s="981">
        <f>SUM(E50:P50)</f>
        <v>1282000</v>
      </c>
      <c r="R50" s="605"/>
      <c r="S50" s="605"/>
      <c r="T50" s="605"/>
      <c r="U50" s="605"/>
      <c r="V50" s="605"/>
      <c r="W50" s="605"/>
      <c r="X50" s="783"/>
      <c r="Y50" s="977">
        <f t="shared" si="4"/>
        <v>1282000</v>
      </c>
      <c r="Z50" s="955"/>
      <c r="AA50" s="956">
        <v>5000</v>
      </c>
      <c r="AB50" s="956"/>
      <c r="AC50" s="956"/>
      <c r="AD50" s="983"/>
      <c r="AE50" s="22"/>
    </row>
    <row r="51" spans="1:31" ht="15">
      <c r="A51" s="959"/>
      <c r="B51" s="304"/>
      <c r="C51" s="469"/>
      <c r="D51" s="966"/>
      <c r="E51" s="605"/>
      <c r="F51" s="605"/>
      <c r="G51" s="605"/>
      <c r="H51" s="605"/>
      <c r="I51" s="605"/>
      <c r="J51" s="605"/>
      <c r="K51" s="605"/>
      <c r="L51" s="605"/>
      <c r="M51" s="605"/>
      <c r="N51" s="605"/>
      <c r="O51" s="605"/>
      <c r="P51" s="605"/>
      <c r="Q51" s="612"/>
      <c r="R51" s="605"/>
      <c r="S51" s="605"/>
      <c r="T51" s="605"/>
      <c r="U51" s="605"/>
      <c r="V51" s="605"/>
      <c r="W51" s="605"/>
      <c r="X51" s="783"/>
      <c r="Y51" s="977"/>
      <c r="Z51" s="955"/>
      <c r="AA51" s="956"/>
      <c r="AB51" s="956"/>
      <c r="AC51" s="956"/>
      <c r="AD51" s="983"/>
      <c r="AE51" s="22"/>
    </row>
    <row r="52" spans="1:31" ht="15">
      <c r="A52" s="959"/>
      <c r="B52" s="304" t="s">
        <v>156</v>
      </c>
      <c r="C52" s="469" t="s">
        <v>609</v>
      </c>
      <c r="D52" s="966">
        <v>1420900</v>
      </c>
      <c r="E52" s="605">
        <v>102400</v>
      </c>
      <c r="F52" s="605">
        <v>108000</v>
      </c>
      <c r="G52" s="605">
        <v>108000</v>
      </c>
      <c r="H52" s="605">
        <v>108000</v>
      </c>
      <c r="I52" s="605">
        <v>108000</v>
      </c>
      <c r="J52" s="605">
        <v>108000</v>
      </c>
      <c r="K52" s="605">
        <v>108000</v>
      </c>
      <c r="L52" s="605">
        <v>108000</v>
      </c>
      <c r="M52" s="605"/>
      <c r="N52" s="605"/>
      <c r="O52" s="605"/>
      <c r="P52" s="605"/>
      <c r="Q52" s="981">
        <f>SUM(E52:L52)</f>
        <v>858400</v>
      </c>
      <c r="R52" s="605"/>
      <c r="S52" s="605"/>
      <c r="T52" s="605"/>
      <c r="U52" s="605"/>
      <c r="V52" s="605"/>
      <c r="W52" s="605"/>
      <c r="X52" s="783"/>
      <c r="Y52" s="977">
        <f t="shared" si="4"/>
        <v>858400</v>
      </c>
      <c r="Z52" s="793"/>
      <c r="AA52" s="956">
        <v>5000</v>
      </c>
      <c r="AB52" s="973"/>
      <c r="AC52" s="973" t="s">
        <v>1508</v>
      </c>
      <c r="AD52" s="983"/>
      <c r="AE52" s="22"/>
    </row>
    <row r="53" spans="1:31" ht="15">
      <c r="A53" s="959"/>
      <c r="B53" s="304"/>
      <c r="C53" s="469"/>
      <c r="D53" s="966"/>
      <c r="E53" s="605"/>
      <c r="F53" s="605"/>
      <c r="G53" s="605"/>
      <c r="H53" s="605"/>
      <c r="I53" s="605"/>
      <c r="J53" s="605"/>
      <c r="K53" s="605"/>
      <c r="L53" s="605"/>
      <c r="M53" s="605"/>
      <c r="N53" s="605"/>
      <c r="O53" s="605"/>
      <c r="P53" s="605"/>
      <c r="Q53" s="612"/>
      <c r="R53" s="605"/>
      <c r="S53" s="605"/>
      <c r="T53" s="605"/>
      <c r="U53" s="605"/>
      <c r="V53" s="605"/>
      <c r="W53" s="605"/>
      <c r="X53" s="783"/>
      <c r="Y53" s="977"/>
      <c r="Z53" s="793"/>
      <c r="AA53" s="956"/>
      <c r="AB53" s="973"/>
      <c r="AC53" s="973"/>
      <c r="AD53" s="983"/>
      <c r="AE53" s="22"/>
    </row>
    <row r="54" spans="1:31" ht="15">
      <c r="A54" s="959"/>
      <c r="B54" s="304" t="s">
        <v>156</v>
      </c>
      <c r="C54" s="469" t="s">
        <v>609</v>
      </c>
      <c r="D54" s="966">
        <v>1421000</v>
      </c>
      <c r="E54" s="605"/>
      <c r="F54" s="605"/>
      <c r="G54" s="605"/>
      <c r="H54" s="605"/>
      <c r="I54" s="605"/>
      <c r="J54" s="605"/>
      <c r="K54" s="605"/>
      <c r="L54" s="605"/>
      <c r="M54" s="605">
        <v>108000</v>
      </c>
      <c r="N54" s="605">
        <v>108000</v>
      </c>
      <c r="O54" s="605">
        <v>108000</v>
      </c>
      <c r="P54" s="605">
        <v>108000</v>
      </c>
      <c r="Q54" s="612">
        <f>SUM(M54:P54)</f>
        <v>432000</v>
      </c>
      <c r="R54" s="605"/>
      <c r="S54" s="605"/>
      <c r="T54" s="605"/>
      <c r="U54" s="605"/>
      <c r="V54" s="605"/>
      <c r="W54" s="605"/>
      <c r="X54" s="783"/>
      <c r="Y54" s="977"/>
      <c r="Z54" s="793"/>
      <c r="AA54" s="956"/>
      <c r="AB54" s="973"/>
      <c r="AC54" s="973"/>
      <c r="AD54" s="983"/>
      <c r="AE54" s="22"/>
    </row>
    <row r="55" spans="1:31" ht="15">
      <c r="A55" s="959"/>
      <c r="B55" s="304" t="s">
        <v>152</v>
      </c>
      <c r="C55" s="469" t="s">
        <v>614</v>
      </c>
      <c r="D55" s="966">
        <v>1421000</v>
      </c>
      <c r="E55" s="605">
        <v>104400</v>
      </c>
      <c r="F55" s="605">
        <v>108000</v>
      </c>
      <c r="G55" s="605">
        <v>108000</v>
      </c>
      <c r="H55" s="605">
        <v>108000</v>
      </c>
      <c r="I55" s="605">
        <v>108000</v>
      </c>
      <c r="J55" s="605">
        <v>108000</v>
      </c>
      <c r="K55" s="605">
        <v>108000</v>
      </c>
      <c r="L55" s="605">
        <v>108000</v>
      </c>
      <c r="M55" s="605">
        <v>108000</v>
      </c>
      <c r="N55" s="605">
        <v>108000</v>
      </c>
      <c r="O55" s="605">
        <v>108000</v>
      </c>
      <c r="P55" s="605">
        <v>108000</v>
      </c>
      <c r="Q55" s="612">
        <f>SUBTOTAL(9,E55:P55)</f>
        <v>1292400</v>
      </c>
      <c r="R55" s="605"/>
      <c r="S55" s="605"/>
      <c r="T55" s="605"/>
      <c r="U55" s="605"/>
      <c r="V55" s="605"/>
      <c r="W55" s="605"/>
      <c r="X55" s="783"/>
      <c r="Y55" s="977">
        <f t="shared" si="4"/>
        <v>1292400</v>
      </c>
      <c r="Z55" s="792"/>
      <c r="AA55" s="956">
        <v>5000</v>
      </c>
      <c r="AB55" s="956"/>
      <c r="AC55" s="984"/>
      <c r="AD55" s="983"/>
      <c r="AE55" s="22"/>
    </row>
    <row r="56" spans="1:31" ht="15">
      <c r="A56" s="959"/>
      <c r="B56" s="304" t="s">
        <v>1162</v>
      </c>
      <c r="C56" s="469" t="s">
        <v>1285</v>
      </c>
      <c r="D56" s="966">
        <v>1421000</v>
      </c>
      <c r="E56" s="605">
        <v>104400</v>
      </c>
      <c r="F56" s="605">
        <v>108000</v>
      </c>
      <c r="G56" s="605">
        <v>108000</v>
      </c>
      <c r="H56" s="605">
        <v>108000</v>
      </c>
      <c r="I56" s="605">
        <v>108000</v>
      </c>
      <c r="J56" s="605">
        <v>108000</v>
      </c>
      <c r="K56" s="605">
        <v>108000</v>
      </c>
      <c r="L56" s="605">
        <v>108000</v>
      </c>
      <c r="M56" s="605">
        <v>108000</v>
      </c>
      <c r="N56" s="605">
        <v>108000</v>
      </c>
      <c r="O56" s="605">
        <v>108000</v>
      </c>
      <c r="P56" s="605">
        <v>108000</v>
      </c>
      <c r="Q56" s="612">
        <f>SUBTOTAL(9,E56:P56)</f>
        <v>1292400</v>
      </c>
      <c r="R56" s="605"/>
      <c r="S56" s="605"/>
      <c r="T56" s="605"/>
      <c r="U56" s="605"/>
      <c r="V56" s="605"/>
      <c r="W56" s="605"/>
      <c r="X56" s="783"/>
      <c r="Y56" s="977">
        <f t="shared" si="4"/>
        <v>1292400</v>
      </c>
      <c r="Z56" s="792"/>
      <c r="AA56" s="956">
        <v>5000</v>
      </c>
      <c r="AB56" s="956"/>
      <c r="AC56" s="956"/>
      <c r="AD56" s="983"/>
      <c r="AE56" s="22"/>
    </row>
    <row r="57" spans="1:30" ht="15">
      <c r="A57" s="959"/>
      <c r="B57" s="304" t="s">
        <v>159</v>
      </c>
      <c r="C57" s="469" t="s">
        <v>609</v>
      </c>
      <c r="D57" s="966">
        <v>1421000</v>
      </c>
      <c r="E57" s="605">
        <v>102400</v>
      </c>
      <c r="F57" s="605">
        <v>108000</v>
      </c>
      <c r="G57" s="605">
        <v>108000</v>
      </c>
      <c r="H57" s="605">
        <v>108000</v>
      </c>
      <c r="I57" s="605">
        <v>108000</v>
      </c>
      <c r="J57" s="605">
        <v>108000</v>
      </c>
      <c r="K57" s="605">
        <v>108000</v>
      </c>
      <c r="L57" s="605">
        <v>108000</v>
      </c>
      <c r="M57" s="605">
        <v>108000</v>
      </c>
      <c r="N57" s="605">
        <v>108000</v>
      </c>
      <c r="O57" s="605">
        <v>108000</v>
      </c>
      <c r="P57" s="605">
        <v>108000</v>
      </c>
      <c r="Q57" s="612">
        <f>SUBTOTAL(9,E57:P57)</f>
        <v>1290400</v>
      </c>
      <c r="R57" s="605"/>
      <c r="S57" s="605"/>
      <c r="T57" s="605"/>
      <c r="U57" s="605"/>
      <c r="V57" s="605"/>
      <c r="W57" s="605"/>
      <c r="X57" s="783"/>
      <c r="Y57" s="977">
        <f t="shared" si="4"/>
        <v>1290400</v>
      </c>
      <c r="Z57" s="792"/>
      <c r="AA57" s="596">
        <v>5000</v>
      </c>
      <c r="AB57" s="596"/>
      <c r="AC57" s="600"/>
      <c r="AD57" s="302"/>
    </row>
    <row r="58" spans="1:30" ht="15">
      <c r="A58" s="959"/>
      <c r="B58" s="304" t="s">
        <v>1433</v>
      </c>
      <c r="C58" s="469"/>
      <c r="D58" s="966"/>
      <c r="E58" s="605"/>
      <c r="F58" s="605"/>
      <c r="G58" s="605"/>
      <c r="H58" s="605"/>
      <c r="I58" s="605"/>
      <c r="J58" s="605"/>
      <c r="K58" s="605"/>
      <c r="L58" s="605"/>
      <c r="M58" s="605"/>
      <c r="N58" s="605"/>
      <c r="O58" s="605"/>
      <c r="P58" s="605"/>
      <c r="Q58" s="981">
        <f>SUM(Q54:Q57)</f>
        <v>4307200</v>
      </c>
      <c r="R58" s="605"/>
      <c r="S58" s="605"/>
      <c r="T58" s="605"/>
      <c r="U58" s="605"/>
      <c r="V58" s="605"/>
      <c r="W58" s="605"/>
      <c r="X58" s="783"/>
      <c r="Y58" s="977"/>
      <c r="Z58" s="792"/>
      <c r="AA58" s="596"/>
      <c r="AB58" s="596"/>
      <c r="AC58" s="600"/>
      <c r="AD58" s="302"/>
    </row>
    <row r="59" spans="1:30" ht="15">
      <c r="A59" s="959"/>
      <c r="B59" s="304"/>
      <c r="C59" s="469"/>
      <c r="D59" s="966"/>
      <c r="E59" s="605"/>
      <c r="F59" s="605"/>
      <c r="G59" s="605"/>
      <c r="H59" s="605"/>
      <c r="I59" s="605"/>
      <c r="J59" s="605"/>
      <c r="K59" s="605"/>
      <c r="L59" s="605"/>
      <c r="M59" s="605"/>
      <c r="N59" s="605"/>
      <c r="O59" s="605"/>
      <c r="P59" s="605"/>
      <c r="Q59" s="612"/>
      <c r="R59" s="605"/>
      <c r="S59" s="605"/>
      <c r="T59" s="605"/>
      <c r="U59" s="605"/>
      <c r="V59" s="605"/>
      <c r="W59" s="605"/>
      <c r="X59" s="783"/>
      <c r="Y59" s="977"/>
      <c r="Z59" s="792"/>
      <c r="AA59" s="596"/>
      <c r="AB59" s="596"/>
      <c r="AC59" s="600"/>
      <c r="AD59" s="302"/>
    </row>
    <row r="60" spans="1:30" ht="15">
      <c r="A60" s="959"/>
      <c r="B60" s="304" t="s">
        <v>658</v>
      </c>
      <c r="C60" s="469" t="s">
        <v>614</v>
      </c>
      <c r="D60" s="966">
        <v>1421100</v>
      </c>
      <c r="E60" s="605">
        <v>108200</v>
      </c>
      <c r="F60" s="605">
        <v>108200</v>
      </c>
      <c r="G60" s="605">
        <v>108200</v>
      </c>
      <c r="H60" s="605">
        <v>108200</v>
      </c>
      <c r="I60" s="605">
        <v>108200</v>
      </c>
      <c r="J60" s="605">
        <v>108200</v>
      </c>
      <c r="K60" s="605">
        <v>108200</v>
      </c>
      <c r="L60" s="605">
        <v>108200</v>
      </c>
      <c r="M60" s="605">
        <v>108200</v>
      </c>
      <c r="N60" s="605">
        <v>108200</v>
      </c>
      <c r="O60" s="605">
        <v>108200</v>
      </c>
      <c r="P60" s="605">
        <v>108200</v>
      </c>
      <c r="Q60" s="981">
        <f>SUBTOTAL(9,E60:P60)</f>
        <v>1298400</v>
      </c>
      <c r="R60" s="605"/>
      <c r="S60" s="605"/>
      <c r="T60" s="605"/>
      <c r="U60" s="605"/>
      <c r="V60" s="605"/>
      <c r="W60" s="605">
        <f>N60*2</f>
        <v>216400</v>
      </c>
      <c r="X60" s="783"/>
      <c r="Y60" s="977">
        <f t="shared" si="4"/>
        <v>1514800</v>
      </c>
      <c r="Z60" s="792"/>
      <c r="AA60" s="596">
        <v>5000</v>
      </c>
      <c r="AB60" s="596"/>
      <c r="AC60" s="600" t="s">
        <v>664</v>
      </c>
      <c r="AD60" s="305"/>
    </row>
    <row r="61" spans="1:30" ht="15">
      <c r="A61" s="959"/>
      <c r="B61" s="304"/>
      <c r="C61" s="469"/>
      <c r="D61" s="966"/>
      <c r="E61" s="605"/>
      <c r="F61" s="605"/>
      <c r="G61" s="605"/>
      <c r="H61" s="605"/>
      <c r="I61" s="605"/>
      <c r="J61" s="605"/>
      <c r="K61" s="605"/>
      <c r="L61" s="605"/>
      <c r="M61" s="605"/>
      <c r="N61" s="605"/>
      <c r="O61" s="605"/>
      <c r="P61" s="605"/>
      <c r="Q61" s="612"/>
      <c r="R61" s="605"/>
      <c r="S61" s="605"/>
      <c r="T61" s="605"/>
      <c r="U61" s="605"/>
      <c r="V61" s="605"/>
      <c r="W61" s="605"/>
      <c r="X61" s="783"/>
      <c r="Y61" s="977"/>
      <c r="Z61" s="792"/>
      <c r="AA61" s="596"/>
      <c r="AB61" s="596"/>
      <c r="AC61" s="600"/>
      <c r="AD61" s="305"/>
    </row>
    <row r="62" spans="1:30" ht="15">
      <c r="A62" s="959"/>
      <c r="B62" s="304" t="s">
        <v>146</v>
      </c>
      <c r="C62" s="469" t="s">
        <v>613</v>
      </c>
      <c r="D62" s="963">
        <v>1421200</v>
      </c>
      <c r="E62" s="607">
        <v>110200</v>
      </c>
      <c r="F62" s="607">
        <v>110200</v>
      </c>
      <c r="G62" s="607">
        <v>110200</v>
      </c>
      <c r="H62" s="607">
        <v>110200</v>
      </c>
      <c r="I62" s="607">
        <v>110200</v>
      </c>
      <c r="J62" s="607">
        <v>110200</v>
      </c>
      <c r="K62" s="607">
        <v>110200</v>
      </c>
      <c r="L62" s="607">
        <v>110200</v>
      </c>
      <c r="M62" s="607">
        <v>111800</v>
      </c>
      <c r="N62" s="607">
        <v>112100</v>
      </c>
      <c r="O62" s="607">
        <v>112100</v>
      </c>
      <c r="P62" s="607">
        <v>112100</v>
      </c>
      <c r="Q62" s="981">
        <f>SUBTOTAL(9,E62:P62)</f>
        <v>1329700</v>
      </c>
      <c r="R62" s="607"/>
      <c r="S62" s="954"/>
      <c r="T62" s="607"/>
      <c r="U62" s="607"/>
      <c r="V62" s="607"/>
      <c r="W62" s="607"/>
      <c r="X62" s="784"/>
      <c r="Y62" s="977">
        <f t="shared" si="4"/>
        <v>1329700</v>
      </c>
      <c r="Z62" s="792"/>
      <c r="AA62" s="596">
        <v>5000</v>
      </c>
      <c r="AB62" s="596"/>
      <c r="AC62" s="950" t="s">
        <v>1499</v>
      </c>
      <c r="AD62" s="302"/>
    </row>
    <row r="63" spans="1:30" ht="15">
      <c r="A63" s="959"/>
      <c r="B63" s="304"/>
      <c r="C63" s="469"/>
      <c r="D63" s="963"/>
      <c r="E63" s="607"/>
      <c r="F63" s="607"/>
      <c r="G63" s="607"/>
      <c r="H63" s="607"/>
      <c r="I63" s="607"/>
      <c r="J63" s="607"/>
      <c r="K63" s="607"/>
      <c r="L63" s="607"/>
      <c r="M63" s="607"/>
      <c r="N63" s="607"/>
      <c r="O63" s="607"/>
      <c r="P63" s="607"/>
      <c r="Q63" s="613"/>
      <c r="R63" s="607"/>
      <c r="S63" s="954"/>
      <c r="T63" s="607"/>
      <c r="U63" s="607"/>
      <c r="V63" s="607"/>
      <c r="W63" s="607"/>
      <c r="X63" s="784"/>
      <c r="Y63" s="977"/>
      <c r="Z63" s="792"/>
      <c r="AA63" s="596"/>
      <c r="AB63" s="596"/>
      <c r="AC63" s="950"/>
      <c r="AD63" s="302"/>
    </row>
    <row r="64" spans="1:30" ht="15">
      <c r="A64" s="959"/>
      <c r="B64" s="303" t="s">
        <v>150</v>
      </c>
      <c r="C64" s="469" t="s">
        <v>610</v>
      </c>
      <c r="D64" s="963">
        <v>1421300</v>
      </c>
      <c r="E64" s="605">
        <v>112100</v>
      </c>
      <c r="F64" s="605">
        <v>112100</v>
      </c>
      <c r="G64" s="605">
        <v>112100</v>
      </c>
      <c r="H64" s="605">
        <v>112100</v>
      </c>
      <c r="I64" s="605">
        <v>112100</v>
      </c>
      <c r="J64" s="605">
        <v>112100</v>
      </c>
      <c r="K64" s="605">
        <v>112100</v>
      </c>
      <c r="L64" s="605">
        <v>112100</v>
      </c>
      <c r="M64" s="605">
        <v>112100</v>
      </c>
      <c r="N64" s="605">
        <v>112100</v>
      </c>
      <c r="O64" s="605">
        <v>112100</v>
      </c>
      <c r="P64" s="605">
        <v>127500</v>
      </c>
      <c r="Q64" s="981">
        <f>SUBTOTAL(9,E64:P64)</f>
        <v>1360600</v>
      </c>
      <c r="R64" s="605"/>
      <c r="S64" s="605"/>
      <c r="T64" s="605"/>
      <c r="U64" s="605"/>
      <c r="V64" s="605"/>
      <c r="W64" s="605">
        <f>N64*3</f>
        <v>336300</v>
      </c>
      <c r="X64" s="783"/>
      <c r="Y64" s="977">
        <f t="shared" si="4"/>
        <v>1696900</v>
      </c>
      <c r="Z64" s="792"/>
      <c r="AA64" s="596">
        <v>5000</v>
      </c>
      <c r="AB64" s="596"/>
      <c r="AC64" s="600" t="s">
        <v>665</v>
      </c>
      <c r="AD64" s="302"/>
    </row>
    <row r="65" spans="1:30" ht="15">
      <c r="A65" s="959"/>
      <c r="B65" s="303"/>
      <c r="C65" s="469"/>
      <c r="D65" s="963"/>
      <c r="E65" s="605"/>
      <c r="F65" s="605"/>
      <c r="G65" s="605"/>
      <c r="H65" s="605"/>
      <c r="I65" s="605"/>
      <c r="J65" s="605"/>
      <c r="K65" s="605"/>
      <c r="L65" s="605"/>
      <c r="M65" s="605"/>
      <c r="N65" s="605"/>
      <c r="O65" s="605"/>
      <c r="P65" s="605"/>
      <c r="Q65" s="612"/>
      <c r="R65" s="605"/>
      <c r="S65" s="605"/>
      <c r="T65" s="605"/>
      <c r="U65" s="605"/>
      <c r="V65" s="605"/>
      <c r="W65" s="605"/>
      <c r="X65" s="783"/>
      <c r="Y65" s="977"/>
      <c r="Z65" s="792"/>
      <c r="AA65" s="596"/>
      <c r="AB65" s="596"/>
      <c r="AC65" s="600"/>
      <c r="AD65" s="302"/>
    </row>
    <row r="66" spans="1:30" ht="15">
      <c r="A66" s="959"/>
      <c r="B66" s="304" t="s">
        <v>153</v>
      </c>
      <c r="C66" s="469" t="s">
        <v>608</v>
      </c>
      <c r="D66" s="966">
        <v>1421400</v>
      </c>
      <c r="E66" s="605">
        <v>127500</v>
      </c>
      <c r="F66" s="605">
        <v>127500</v>
      </c>
      <c r="G66" s="605">
        <v>127500</v>
      </c>
      <c r="H66" s="605">
        <v>127500</v>
      </c>
      <c r="I66" s="605">
        <v>127500</v>
      </c>
      <c r="J66" s="605">
        <v>127500</v>
      </c>
      <c r="K66" s="605">
        <v>127500</v>
      </c>
      <c r="L66" s="605">
        <v>127500</v>
      </c>
      <c r="M66" s="605">
        <v>127500</v>
      </c>
      <c r="N66" s="605">
        <v>127500</v>
      </c>
      <c r="O66" s="605">
        <v>127500</v>
      </c>
      <c r="P66" s="605">
        <v>127500</v>
      </c>
      <c r="Q66" s="981">
        <f>SUBTOTAL(9,E66:P66)</f>
        <v>1530000</v>
      </c>
      <c r="R66" s="605"/>
      <c r="S66" s="605"/>
      <c r="T66" s="605"/>
      <c r="U66" s="605"/>
      <c r="V66" s="605"/>
      <c r="W66" s="605"/>
      <c r="X66" s="783"/>
      <c r="Y66" s="977">
        <f t="shared" si="4"/>
        <v>1530000</v>
      </c>
      <c r="Z66" s="792"/>
      <c r="AA66" s="596">
        <v>5000</v>
      </c>
      <c r="AB66" s="596"/>
      <c r="AC66" s="600"/>
      <c r="AD66" s="302"/>
    </row>
    <row r="67" spans="1:30" ht="15">
      <c r="A67" s="959"/>
      <c r="B67" s="304"/>
      <c r="C67" s="469"/>
      <c r="D67" s="966"/>
      <c r="E67" s="605"/>
      <c r="F67" s="605"/>
      <c r="G67" s="605"/>
      <c r="H67" s="605"/>
      <c r="I67" s="605"/>
      <c r="J67" s="605"/>
      <c r="K67" s="605"/>
      <c r="L67" s="605"/>
      <c r="M67" s="605"/>
      <c r="N67" s="605"/>
      <c r="O67" s="605"/>
      <c r="P67" s="605"/>
      <c r="Q67" s="612"/>
      <c r="R67" s="605"/>
      <c r="S67" s="605"/>
      <c r="T67" s="987"/>
      <c r="U67" s="605"/>
      <c r="V67" s="605"/>
      <c r="W67" s="605"/>
      <c r="X67" s="783"/>
      <c r="Y67" s="977"/>
      <c r="Z67" s="792"/>
      <c r="AA67" s="596"/>
      <c r="AB67" s="596"/>
      <c r="AC67" s="600"/>
      <c r="AD67" s="983"/>
    </row>
    <row r="68" spans="1:30" ht="15">
      <c r="A68" s="959"/>
      <c r="B68" s="304" t="s">
        <v>1458</v>
      </c>
      <c r="C68" s="469" t="s">
        <v>614</v>
      </c>
      <c r="D68" s="966">
        <v>1421500</v>
      </c>
      <c r="E68" s="605">
        <v>154600</v>
      </c>
      <c r="F68" s="605">
        <v>154600</v>
      </c>
      <c r="G68" s="605">
        <v>154600</v>
      </c>
      <c r="H68" s="605">
        <v>154600</v>
      </c>
      <c r="I68" s="605">
        <v>154600</v>
      </c>
      <c r="J68" s="605">
        <v>154600</v>
      </c>
      <c r="K68" s="605">
        <v>154600</v>
      </c>
      <c r="L68" s="605">
        <v>154600</v>
      </c>
      <c r="M68" s="605">
        <v>154600</v>
      </c>
      <c r="N68" s="605">
        <v>154600</v>
      </c>
      <c r="O68" s="605">
        <v>154600</v>
      </c>
      <c r="P68" s="605">
        <v>154600</v>
      </c>
      <c r="Q68" s="612">
        <f>SUBTOTAL(9,E68:P68)</f>
        <v>1855200</v>
      </c>
      <c r="R68" s="605"/>
      <c r="S68" s="605"/>
      <c r="T68" s="961"/>
      <c r="U68" s="605"/>
      <c r="V68" s="605"/>
      <c r="W68" s="605"/>
      <c r="X68" s="783"/>
      <c r="Y68" s="977">
        <f t="shared" si="4"/>
        <v>1855200</v>
      </c>
      <c r="Z68" s="792"/>
      <c r="AA68" s="596">
        <v>5000</v>
      </c>
      <c r="AB68" s="596"/>
      <c r="AC68" s="636"/>
      <c r="AD68" s="983"/>
    </row>
    <row r="69" spans="1:30" ht="15">
      <c r="A69" s="959"/>
      <c r="B69" s="471" t="s">
        <v>151</v>
      </c>
      <c r="C69" s="472" t="s">
        <v>613</v>
      </c>
      <c r="D69" s="968">
        <v>1421500</v>
      </c>
      <c r="E69" s="608">
        <v>154600</v>
      </c>
      <c r="F69" s="608">
        <v>154600</v>
      </c>
      <c r="G69" s="608">
        <v>154600</v>
      </c>
      <c r="H69" s="608">
        <v>154600</v>
      </c>
      <c r="I69" s="608">
        <v>154600</v>
      </c>
      <c r="J69" s="608">
        <v>154600</v>
      </c>
      <c r="K69" s="608">
        <v>154600</v>
      </c>
      <c r="L69" s="608">
        <v>70300</v>
      </c>
      <c r="M69" s="608"/>
      <c r="N69" s="608"/>
      <c r="O69" s="608"/>
      <c r="P69" s="608"/>
      <c r="Q69" s="613">
        <f>SUBTOTAL(9,E69:P69)</f>
        <v>1152500</v>
      </c>
      <c r="R69" s="608"/>
      <c r="S69" s="608"/>
      <c r="T69" s="608"/>
      <c r="U69" s="608"/>
      <c r="V69" s="608"/>
      <c r="W69" s="608"/>
      <c r="X69" s="789"/>
      <c r="Y69" s="977">
        <f t="shared" si="4"/>
        <v>1152500</v>
      </c>
      <c r="Z69" s="792"/>
      <c r="AA69" s="596">
        <v>5000</v>
      </c>
      <c r="AB69" s="596"/>
      <c r="AC69" s="950" t="s">
        <v>1503</v>
      </c>
      <c r="AD69" s="983"/>
    </row>
    <row r="70" spans="1:30" ht="15">
      <c r="A70" s="959"/>
      <c r="B70" s="303" t="s">
        <v>157</v>
      </c>
      <c r="C70" s="469" t="s">
        <v>614</v>
      </c>
      <c r="D70" s="966">
        <v>1421500</v>
      </c>
      <c r="E70" s="605">
        <v>154600</v>
      </c>
      <c r="F70" s="605">
        <v>154600</v>
      </c>
      <c r="G70" s="605">
        <v>154600</v>
      </c>
      <c r="H70" s="605">
        <v>154600</v>
      </c>
      <c r="I70" s="605">
        <v>154600</v>
      </c>
      <c r="J70" s="605">
        <v>154600</v>
      </c>
      <c r="K70" s="605">
        <v>154600</v>
      </c>
      <c r="L70" s="605">
        <v>154600</v>
      </c>
      <c r="M70" s="605">
        <v>154600</v>
      </c>
      <c r="N70" s="605">
        <v>154600</v>
      </c>
      <c r="O70" s="605">
        <v>154600</v>
      </c>
      <c r="P70" s="605">
        <v>157800</v>
      </c>
      <c r="Q70" s="612">
        <f>SUBTOTAL(9,E70:P70)</f>
        <v>1858400</v>
      </c>
      <c r="R70" s="605"/>
      <c r="S70" s="605"/>
      <c r="T70" s="605"/>
      <c r="U70" s="605"/>
      <c r="V70" s="605"/>
      <c r="W70" s="605">
        <f>K70*3</f>
        <v>463800</v>
      </c>
      <c r="X70" s="783"/>
      <c r="Y70" s="977">
        <f t="shared" si="4"/>
        <v>2322200</v>
      </c>
      <c r="Z70" s="792"/>
      <c r="AA70" s="596">
        <v>5000</v>
      </c>
      <c r="AB70" s="596"/>
      <c r="AC70" s="950" t="s">
        <v>1774</v>
      </c>
      <c r="AD70" s="983"/>
    </row>
    <row r="71" spans="1:30" ht="15">
      <c r="A71" s="959"/>
      <c r="B71" s="303"/>
      <c r="C71" s="469"/>
      <c r="D71" s="966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981">
        <f>SUM(Q68:Q70)</f>
        <v>4866100</v>
      </c>
      <c r="R71" s="605"/>
      <c r="S71" s="605"/>
      <c r="T71" s="605"/>
      <c r="U71" s="605"/>
      <c r="V71" s="605"/>
      <c r="W71" s="605"/>
      <c r="X71" s="783"/>
      <c r="Y71" s="977"/>
      <c r="Z71" s="792"/>
      <c r="AA71" s="596"/>
      <c r="AB71" s="596"/>
      <c r="AC71" s="950"/>
      <c r="AD71" s="983"/>
    </row>
    <row r="72" spans="1:30" ht="15">
      <c r="A72" s="959"/>
      <c r="B72" s="303"/>
      <c r="C72" s="469"/>
      <c r="D72" s="966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12"/>
      <c r="R72" s="605"/>
      <c r="S72" s="605"/>
      <c r="T72" s="605"/>
      <c r="U72" s="605"/>
      <c r="V72" s="605"/>
      <c r="W72" s="605"/>
      <c r="X72" s="783"/>
      <c r="Y72" s="977"/>
      <c r="Z72" s="792"/>
      <c r="AA72" s="596"/>
      <c r="AB72" s="596"/>
      <c r="AC72" s="950"/>
      <c r="AD72" s="983"/>
    </row>
    <row r="73" spans="1:30" ht="15">
      <c r="A73" s="959"/>
      <c r="B73" s="303" t="s">
        <v>151</v>
      </c>
      <c r="C73" s="469" t="s">
        <v>613</v>
      </c>
      <c r="D73" s="966">
        <v>1421600</v>
      </c>
      <c r="E73" s="605"/>
      <c r="F73" s="605"/>
      <c r="G73" s="605"/>
      <c r="H73" s="605"/>
      <c r="I73" s="605"/>
      <c r="J73" s="605"/>
      <c r="K73" s="605"/>
      <c r="L73" s="605">
        <v>88500</v>
      </c>
      <c r="M73" s="608">
        <v>162300</v>
      </c>
      <c r="N73" s="608">
        <v>162300</v>
      </c>
      <c r="O73" s="608">
        <v>162300</v>
      </c>
      <c r="P73" s="608">
        <v>162300</v>
      </c>
      <c r="Q73" s="612">
        <f>SUM(L73:P73)</f>
        <v>737700</v>
      </c>
      <c r="R73" s="605"/>
      <c r="S73" s="605"/>
      <c r="T73" s="605"/>
      <c r="U73" s="605"/>
      <c r="V73" s="605"/>
      <c r="W73" s="605"/>
      <c r="X73" s="783"/>
      <c r="Y73" s="977"/>
      <c r="Z73" s="792"/>
      <c r="AA73" s="596"/>
      <c r="AB73" s="596"/>
      <c r="AC73" s="950"/>
      <c r="AD73" s="983"/>
    </row>
    <row r="74" spans="1:30" ht="15">
      <c r="A74" s="959"/>
      <c r="B74" s="304" t="s">
        <v>620</v>
      </c>
      <c r="C74" s="469" t="s">
        <v>1285</v>
      </c>
      <c r="D74" s="966">
        <v>1421600</v>
      </c>
      <c r="E74" s="605">
        <v>162300</v>
      </c>
      <c r="F74" s="605">
        <v>162300</v>
      </c>
      <c r="G74" s="605">
        <v>162300</v>
      </c>
      <c r="H74" s="605">
        <v>162300</v>
      </c>
      <c r="I74" s="605">
        <v>92700</v>
      </c>
      <c r="J74" s="605"/>
      <c r="K74" s="605"/>
      <c r="L74" s="605"/>
      <c r="M74" s="605"/>
      <c r="N74" s="605"/>
      <c r="O74" s="605"/>
      <c r="P74" s="605"/>
      <c r="Q74" s="612">
        <f>SUBTOTAL(9,E74:P74)</f>
        <v>741900</v>
      </c>
      <c r="R74" s="605"/>
      <c r="S74" s="605"/>
      <c r="T74" s="605"/>
      <c r="U74" s="605"/>
      <c r="V74" s="605"/>
      <c r="W74" s="605">
        <f>I74*4</f>
        <v>370800</v>
      </c>
      <c r="X74" s="783"/>
      <c r="Y74" s="797">
        <f t="shared" si="4"/>
        <v>1112700</v>
      </c>
      <c r="Z74" s="792"/>
      <c r="AA74" s="596">
        <v>5000</v>
      </c>
      <c r="AB74" s="596"/>
      <c r="AC74" s="599" t="s">
        <v>1775</v>
      </c>
      <c r="AD74" s="983"/>
    </row>
    <row r="75" spans="1:30" ht="15">
      <c r="A75" s="959"/>
      <c r="B75" s="304" t="s">
        <v>1433</v>
      </c>
      <c r="C75" s="469"/>
      <c r="D75" s="966"/>
      <c r="E75" s="605"/>
      <c r="F75" s="605"/>
      <c r="G75" s="605"/>
      <c r="H75" s="605"/>
      <c r="I75" s="605"/>
      <c r="J75" s="605"/>
      <c r="K75" s="605"/>
      <c r="L75" s="605"/>
      <c r="M75" s="605"/>
      <c r="N75" s="605"/>
      <c r="O75" s="605"/>
      <c r="P75" s="605"/>
      <c r="Q75" s="981">
        <f>SUM(Q73:Q74)</f>
        <v>1479600</v>
      </c>
      <c r="R75" s="605"/>
      <c r="S75" s="605"/>
      <c r="T75" s="605"/>
      <c r="U75" s="605"/>
      <c r="V75" s="605"/>
      <c r="W75" s="605"/>
      <c r="X75" s="783"/>
      <c r="Y75" s="797"/>
      <c r="Z75" s="792"/>
      <c r="AA75" s="596"/>
      <c r="AB75" s="596"/>
      <c r="AC75" s="599"/>
      <c r="AD75" s="302"/>
    </row>
    <row r="76" spans="1:30" ht="15">
      <c r="A76" s="959"/>
      <c r="B76" s="304"/>
      <c r="C76" s="469"/>
      <c r="D76" s="966"/>
      <c r="E76" s="605"/>
      <c r="F76" s="605"/>
      <c r="G76" s="605"/>
      <c r="H76" s="605"/>
      <c r="I76" s="605"/>
      <c r="J76" s="605"/>
      <c r="K76" s="605"/>
      <c r="L76" s="605"/>
      <c r="M76" s="605"/>
      <c r="N76" s="605"/>
      <c r="O76" s="605"/>
      <c r="P76" s="605"/>
      <c r="Q76" s="612"/>
      <c r="R76" s="605"/>
      <c r="S76" s="605"/>
      <c r="T76" s="605"/>
      <c r="U76" s="605"/>
      <c r="V76" s="605"/>
      <c r="W76" s="605"/>
      <c r="X76" s="783"/>
      <c r="Y76" s="797"/>
      <c r="Z76" s="792"/>
      <c r="AA76" s="596"/>
      <c r="AB76" s="596"/>
      <c r="AC76" s="599"/>
      <c r="AD76" s="302"/>
    </row>
    <row r="77" spans="1:30" ht="15">
      <c r="A77" s="959"/>
      <c r="B77" s="304" t="s">
        <v>620</v>
      </c>
      <c r="C77" s="469" t="s">
        <v>1285</v>
      </c>
      <c r="D77" s="966">
        <v>1421700</v>
      </c>
      <c r="E77" s="605"/>
      <c r="F77" s="605"/>
      <c r="G77" s="605"/>
      <c r="H77" s="605"/>
      <c r="I77" s="605">
        <v>72900</v>
      </c>
      <c r="J77" s="605">
        <v>170100</v>
      </c>
      <c r="K77" s="605">
        <v>170100</v>
      </c>
      <c r="L77" s="605">
        <v>170100</v>
      </c>
      <c r="M77" s="605">
        <v>170100</v>
      </c>
      <c r="N77" s="605">
        <v>170100</v>
      </c>
      <c r="O77" s="605">
        <v>170100</v>
      </c>
      <c r="P77" s="605">
        <v>170100</v>
      </c>
      <c r="Q77" s="612">
        <f>SUM(I77:P77)</f>
        <v>1263600</v>
      </c>
      <c r="R77" s="605"/>
      <c r="S77" s="605"/>
      <c r="T77" s="605"/>
      <c r="U77" s="605"/>
      <c r="V77" s="605"/>
      <c r="W77" s="605"/>
      <c r="X77" s="783"/>
      <c r="Y77" s="797"/>
      <c r="Z77" s="792"/>
      <c r="AA77" s="596"/>
      <c r="AB77" s="596"/>
      <c r="AC77" s="599"/>
      <c r="AD77" s="302"/>
    </row>
    <row r="78" spans="1:30" ht="15">
      <c r="A78" s="959"/>
      <c r="B78" s="304" t="s">
        <v>149</v>
      </c>
      <c r="C78" s="469" t="s">
        <v>613</v>
      </c>
      <c r="D78" s="963">
        <v>1421700</v>
      </c>
      <c r="E78" s="605">
        <v>170100</v>
      </c>
      <c r="F78" s="605">
        <v>170100</v>
      </c>
      <c r="G78" s="605">
        <v>170100</v>
      </c>
      <c r="H78" s="605">
        <v>170100</v>
      </c>
      <c r="I78" s="605">
        <v>170100</v>
      </c>
      <c r="J78" s="605">
        <v>170100</v>
      </c>
      <c r="K78" s="605">
        <v>170100</v>
      </c>
      <c r="L78" s="605">
        <v>170100</v>
      </c>
      <c r="M78" s="605">
        <v>170100</v>
      </c>
      <c r="N78" s="605">
        <v>170100</v>
      </c>
      <c r="O78" s="605">
        <v>170100</v>
      </c>
      <c r="P78" s="605">
        <v>170100</v>
      </c>
      <c r="Q78" s="613">
        <f>SUBTOTAL(9,E78:P78)</f>
        <v>2041200</v>
      </c>
      <c r="R78" s="605"/>
      <c r="S78" s="605"/>
      <c r="T78" s="605"/>
      <c r="U78" s="605"/>
      <c r="V78" s="605"/>
      <c r="W78" s="605"/>
      <c r="X78" s="783"/>
      <c r="Y78" s="797">
        <f t="shared" si="4"/>
        <v>2041200</v>
      </c>
      <c r="Z78" s="792"/>
      <c r="AA78" s="596">
        <v>5000</v>
      </c>
      <c r="AB78" s="596"/>
      <c r="AC78" s="596"/>
      <c r="AD78" s="302"/>
    </row>
    <row r="79" spans="1:30" ht="15">
      <c r="A79" s="959"/>
      <c r="B79" s="304" t="s">
        <v>155</v>
      </c>
      <c r="C79" s="469" t="s">
        <v>609</v>
      </c>
      <c r="D79" s="966">
        <v>1421700</v>
      </c>
      <c r="E79" s="605">
        <v>170100</v>
      </c>
      <c r="F79" s="605">
        <v>170100</v>
      </c>
      <c r="G79" s="605">
        <v>170100</v>
      </c>
      <c r="H79" s="605">
        <v>170100</v>
      </c>
      <c r="I79" s="605">
        <v>170100</v>
      </c>
      <c r="J79" s="605">
        <v>170100</v>
      </c>
      <c r="K79" s="605">
        <v>170100</v>
      </c>
      <c r="L79" s="605">
        <v>170100</v>
      </c>
      <c r="M79" s="605">
        <v>170100</v>
      </c>
      <c r="N79" s="605">
        <v>170100</v>
      </c>
      <c r="O79" s="605">
        <v>170100</v>
      </c>
      <c r="P79" s="605">
        <v>170100</v>
      </c>
      <c r="Q79" s="612">
        <f>SUBTOTAL(9,E79:P79)</f>
        <v>2041200</v>
      </c>
      <c r="R79" s="605"/>
      <c r="S79" s="605"/>
      <c r="T79" s="605"/>
      <c r="U79" s="605"/>
      <c r="V79" s="605"/>
      <c r="W79" s="605"/>
      <c r="X79" s="783"/>
      <c r="Y79" s="797">
        <f t="shared" si="4"/>
        <v>2041200</v>
      </c>
      <c r="Z79" s="792"/>
      <c r="AA79" s="596">
        <v>5000</v>
      </c>
      <c r="AB79" s="596"/>
      <c r="AC79" s="636"/>
      <c r="AD79" s="302"/>
    </row>
    <row r="80" spans="1:30" ht="15">
      <c r="A80" s="959"/>
      <c r="B80" s="304" t="s">
        <v>1433</v>
      </c>
      <c r="C80" s="469"/>
      <c r="D80" s="966"/>
      <c r="E80" s="605"/>
      <c r="F80" s="605"/>
      <c r="G80" s="605"/>
      <c r="H80" s="605"/>
      <c r="I80" s="605"/>
      <c r="J80" s="605"/>
      <c r="K80" s="605"/>
      <c r="L80" s="605"/>
      <c r="M80" s="605"/>
      <c r="N80" s="605"/>
      <c r="O80" s="605"/>
      <c r="P80" s="605"/>
      <c r="Q80" s="981">
        <f>SUM(Q77:Q79)</f>
        <v>5346000</v>
      </c>
      <c r="R80" s="605"/>
      <c r="S80" s="605"/>
      <c r="T80" s="605"/>
      <c r="U80" s="605"/>
      <c r="V80" s="605"/>
      <c r="W80" s="605"/>
      <c r="X80" s="783"/>
      <c r="Y80" s="797"/>
      <c r="Z80" s="792"/>
      <c r="AA80" s="596"/>
      <c r="AB80" s="596"/>
      <c r="AC80" s="636"/>
      <c r="AD80" s="302"/>
    </row>
    <row r="81" spans="1:30" ht="15">
      <c r="A81" s="959"/>
      <c r="B81" s="304"/>
      <c r="C81" s="469"/>
      <c r="D81" s="966"/>
      <c r="E81" s="605"/>
      <c r="F81" s="605"/>
      <c r="G81" s="605"/>
      <c r="H81" s="605"/>
      <c r="I81" s="605"/>
      <c r="J81" s="605"/>
      <c r="K81" s="605"/>
      <c r="L81" s="605"/>
      <c r="M81" s="605"/>
      <c r="N81" s="605"/>
      <c r="O81" s="605"/>
      <c r="P81" s="605"/>
      <c r="Q81" s="612"/>
      <c r="R81" s="605"/>
      <c r="S81" s="605"/>
      <c r="T81" s="605"/>
      <c r="U81" s="605"/>
      <c r="V81" s="605"/>
      <c r="W81" s="605"/>
      <c r="X81" s="783"/>
      <c r="Y81" s="797"/>
      <c r="Z81" s="792"/>
      <c r="AA81" s="596"/>
      <c r="AB81" s="596"/>
      <c r="AC81" s="636"/>
      <c r="AD81" s="302"/>
    </row>
    <row r="82" spans="1:30" ht="15">
      <c r="A82" s="959"/>
      <c r="B82" s="304" t="s">
        <v>611</v>
      </c>
      <c r="C82" s="469" t="s">
        <v>1285</v>
      </c>
      <c r="D82" s="963">
        <v>1430200</v>
      </c>
      <c r="E82" s="605">
        <v>94000</v>
      </c>
      <c r="F82" s="605">
        <v>108000</v>
      </c>
      <c r="G82" s="605">
        <v>108000</v>
      </c>
      <c r="H82" s="605">
        <v>108000</v>
      </c>
      <c r="I82" s="605">
        <v>108000</v>
      </c>
      <c r="J82" s="605">
        <v>108000</v>
      </c>
      <c r="K82" s="605">
        <v>108000</v>
      </c>
      <c r="L82" s="605">
        <v>108000</v>
      </c>
      <c r="M82" s="605">
        <v>108000</v>
      </c>
      <c r="N82" s="605">
        <v>108000</v>
      </c>
      <c r="O82" s="605">
        <v>108000</v>
      </c>
      <c r="P82" s="605">
        <v>108000</v>
      </c>
      <c r="Q82" s="981">
        <f>SUBTOTAL(9,E82:P82)</f>
        <v>1282000</v>
      </c>
      <c r="R82" s="605"/>
      <c r="S82" s="605"/>
      <c r="T82" s="605"/>
      <c r="U82" s="605"/>
      <c r="V82" s="605"/>
      <c r="W82" s="605"/>
      <c r="X82" s="783"/>
      <c r="Y82" s="797">
        <f t="shared" si="4"/>
        <v>1282000</v>
      </c>
      <c r="Z82" s="792"/>
      <c r="AA82" s="596">
        <v>5000</v>
      </c>
      <c r="AB82" s="596"/>
      <c r="AC82" s="596"/>
      <c r="AD82" s="302"/>
    </row>
    <row r="83" spans="1:30" ht="15">
      <c r="A83" s="959"/>
      <c r="B83" s="304" t="s">
        <v>199</v>
      </c>
      <c r="C83" s="469" t="s">
        <v>612</v>
      </c>
      <c r="D83" s="963">
        <v>1430300</v>
      </c>
      <c r="E83" s="605">
        <v>94000</v>
      </c>
      <c r="F83" s="605">
        <v>108000</v>
      </c>
      <c r="G83" s="605">
        <v>108000</v>
      </c>
      <c r="H83" s="605">
        <v>108000</v>
      </c>
      <c r="I83" s="605">
        <v>108000</v>
      </c>
      <c r="J83" s="605">
        <v>108000</v>
      </c>
      <c r="K83" s="605">
        <v>108000</v>
      </c>
      <c r="L83" s="605">
        <v>108000</v>
      </c>
      <c r="M83" s="605">
        <v>108000</v>
      </c>
      <c r="N83" s="605">
        <v>108000</v>
      </c>
      <c r="O83" s="605">
        <v>108000</v>
      </c>
      <c r="P83" s="605">
        <v>108000</v>
      </c>
      <c r="Q83" s="981">
        <f>SUBTOTAL(9,E83:P83)</f>
        <v>1282000</v>
      </c>
      <c r="R83" s="605"/>
      <c r="S83" s="605"/>
      <c r="T83" s="605"/>
      <c r="U83" s="605"/>
      <c r="V83" s="605"/>
      <c r="W83" s="605"/>
      <c r="X83" s="783"/>
      <c r="Y83" s="797">
        <f t="shared" si="4"/>
        <v>1282000</v>
      </c>
      <c r="Z83" s="792"/>
      <c r="AA83" s="596">
        <v>5000</v>
      </c>
      <c r="AB83" s="596"/>
      <c r="AC83" s="596"/>
      <c r="AD83" s="302"/>
    </row>
    <row r="84" spans="1:30" ht="15">
      <c r="A84" s="959"/>
      <c r="B84" s="304" t="s">
        <v>147</v>
      </c>
      <c r="C84" s="469" t="s">
        <v>1285</v>
      </c>
      <c r="D84" s="963">
        <v>1430500</v>
      </c>
      <c r="E84" s="605">
        <v>96600</v>
      </c>
      <c r="F84" s="605">
        <v>108000</v>
      </c>
      <c r="G84" s="605">
        <v>108000</v>
      </c>
      <c r="H84" s="605">
        <v>108000</v>
      </c>
      <c r="I84" s="605">
        <v>108000</v>
      </c>
      <c r="J84" s="605">
        <v>108000</v>
      </c>
      <c r="K84" s="605">
        <v>108000</v>
      </c>
      <c r="L84" s="605">
        <v>108000</v>
      </c>
      <c r="M84" s="605">
        <v>108000</v>
      </c>
      <c r="N84" s="605">
        <v>108000</v>
      </c>
      <c r="O84" s="605">
        <v>108000</v>
      </c>
      <c r="P84" s="605">
        <v>108000</v>
      </c>
      <c r="Q84" s="981">
        <f>SUBTOTAL(9,E84:P84)</f>
        <v>1284600</v>
      </c>
      <c r="R84" s="605"/>
      <c r="S84" s="605"/>
      <c r="T84" s="605"/>
      <c r="U84" s="605"/>
      <c r="V84" s="605"/>
      <c r="W84" s="605"/>
      <c r="X84" s="783"/>
      <c r="Y84" s="797">
        <f t="shared" si="4"/>
        <v>1284600</v>
      </c>
      <c r="Z84" s="792"/>
      <c r="AA84" s="596">
        <v>5000</v>
      </c>
      <c r="AB84" s="596"/>
      <c r="AC84" s="600"/>
      <c r="AD84" s="302"/>
    </row>
    <row r="85" spans="1:30" ht="15">
      <c r="A85" s="959"/>
      <c r="B85" s="988" t="s">
        <v>201</v>
      </c>
      <c r="C85" s="970" t="s">
        <v>616</v>
      </c>
      <c r="D85" s="989" t="s">
        <v>16</v>
      </c>
      <c r="E85" s="972">
        <v>483200</v>
      </c>
      <c r="F85" s="972">
        <v>483200</v>
      </c>
      <c r="G85" s="972">
        <v>483200</v>
      </c>
      <c r="H85" s="972">
        <v>483200</v>
      </c>
      <c r="I85" s="972">
        <v>483200</v>
      </c>
      <c r="J85" s="972">
        <v>483200</v>
      </c>
      <c r="K85" s="972">
        <v>483200</v>
      </c>
      <c r="L85" s="972">
        <v>483200</v>
      </c>
      <c r="M85" s="972">
        <v>483200</v>
      </c>
      <c r="N85" s="972">
        <v>483200</v>
      </c>
      <c r="O85" s="972">
        <v>483200</v>
      </c>
      <c r="P85" s="972">
        <v>483200</v>
      </c>
      <c r="Q85" s="981">
        <f>SUBTOTAL(9,E85:P85)</f>
        <v>5798400</v>
      </c>
      <c r="R85" s="609"/>
      <c r="S85" s="610"/>
      <c r="T85" s="609"/>
      <c r="U85" s="609"/>
      <c r="V85" s="609"/>
      <c r="W85" s="609"/>
      <c r="X85" s="788"/>
      <c r="Y85" s="797">
        <f t="shared" si="4"/>
        <v>5798400</v>
      </c>
      <c r="Z85" s="792"/>
      <c r="AA85" s="596">
        <v>5000</v>
      </c>
      <c r="AB85" s="596"/>
      <c r="AC85" s="596"/>
      <c r="AD85" s="302"/>
    </row>
    <row r="86" spans="1:30" ht="15">
      <c r="A86" s="959"/>
      <c r="B86" s="615" t="s">
        <v>1286</v>
      </c>
      <c r="C86" s="469"/>
      <c r="D86" s="630"/>
      <c r="E86" s="605"/>
      <c r="F86" s="605"/>
      <c r="G86" s="605"/>
      <c r="H86" s="605"/>
      <c r="I86" s="605"/>
      <c r="J86" s="605"/>
      <c r="K86" s="605"/>
      <c r="L86" s="605"/>
      <c r="M86" s="605"/>
      <c r="N86" s="605"/>
      <c r="O86" s="605"/>
      <c r="P86" s="605"/>
      <c r="Q86" s="612">
        <f>Q4+Q9+Q12+Q16+Q18+Q20+Q28+Q32+Q33+Q35+Q38+Q40+Q42+Q44+Q46+Q48+Q50+Q52+Q58+Q60+Q62+Q64+Q66+Q71+Q75+Q80+Q82+Q83+Q84+Q85</f>
        <v>87697300</v>
      </c>
      <c r="R86" s="612">
        <f aca="true" t="shared" si="5" ref="R86:X86">SUM(R2:R85)</f>
        <v>3810936</v>
      </c>
      <c r="S86" s="612">
        <f t="shared" si="5"/>
        <v>5588790</v>
      </c>
      <c r="T86" s="612">
        <f t="shared" si="5"/>
        <v>0</v>
      </c>
      <c r="U86" s="612">
        <f t="shared" si="5"/>
        <v>3478176</v>
      </c>
      <c r="V86" s="612">
        <f t="shared" si="5"/>
        <v>0</v>
      </c>
      <c r="W86" s="612">
        <f t="shared" si="5"/>
        <v>6350200</v>
      </c>
      <c r="X86" s="612">
        <f t="shared" si="5"/>
        <v>0</v>
      </c>
      <c r="Y86" s="797">
        <f t="shared" si="4"/>
        <v>106925402</v>
      </c>
      <c r="Z86" s="960">
        <f>SUM(Z2:Z85)</f>
        <v>0</v>
      </c>
      <c r="AA86" s="596">
        <f>SUM(AA2:AA85)</f>
        <v>210000</v>
      </c>
      <c r="AB86" s="596">
        <f>SUM(AB2:AB85)</f>
        <v>0</v>
      </c>
      <c r="AC86" s="596"/>
      <c r="AD86" s="302"/>
    </row>
    <row r="87" spans="1:30" ht="15">
      <c r="A87" s="959"/>
      <c r="B87" s="990" t="s">
        <v>1279</v>
      </c>
      <c r="C87" s="991"/>
      <c r="D87" s="992" t="s">
        <v>659</v>
      </c>
      <c r="E87" s="993">
        <v>160000</v>
      </c>
      <c r="F87" s="993">
        <v>160000</v>
      </c>
      <c r="G87" s="993">
        <v>160000</v>
      </c>
      <c r="H87" s="993">
        <v>160000</v>
      </c>
      <c r="I87" s="993">
        <v>160000</v>
      </c>
      <c r="J87" s="993">
        <v>160000</v>
      </c>
      <c r="K87" s="993">
        <v>160000</v>
      </c>
      <c r="L87" s="993">
        <v>160000</v>
      </c>
      <c r="M87" s="993">
        <v>160000</v>
      </c>
      <c r="N87" s="993">
        <v>160000</v>
      </c>
      <c r="O87" s="993">
        <v>160000</v>
      </c>
      <c r="P87" s="993">
        <v>160000</v>
      </c>
      <c r="Q87" s="612">
        <f>SUBTOTAL(9,E87:P87)</f>
        <v>1920000</v>
      </c>
      <c r="R87" s="607"/>
      <c r="S87" s="610"/>
      <c r="T87" s="607"/>
      <c r="U87" s="607"/>
      <c r="V87" s="607"/>
      <c r="W87" s="607"/>
      <c r="X87" s="784"/>
      <c r="Y87" s="797">
        <f t="shared" si="4"/>
        <v>1920000</v>
      </c>
      <c r="Z87" s="792"/>
      <c r="AA87" s="596">
        <v>5000</v>
      </c>
      <c r="AB87" s="596"/>
      <c r="AC87" s="636"/>
      <c r="AD87" s="302"/>
    </row>
    <row r="88" spans="1:30" ht="15">
      <c r="A88" s="959"/>
      <c r="B88" s="994" t="s">
        <v>20</v>
      </c>
      <c r="C88" s="991"/>
      <c r="D88" s="995"/>
      <c r="E88" s="993"/>
      <c r="F88" s="993"/>
      <c r="G88" s="993"/>
      <c r="H88" s="993"/>
      <c r="I88" s="993"/>
      <c r="J88" s="993"/>
      <c r="K88" s="993"/>
      <c r="L88" s="993"/>
      <c r="M88" s="993"/>
      <c r="N88" s="993"/>
      <c r="O88" s="993"/>
      <c r="P88" s="993"/>
      <c r="Q88" s="612">
        <f aca="true" t="shared" si="6" ref="Q88:X88">SUM(Q87)</f>
        <v>1920000</v>
      </c>
      <c r="R88" s="607">
        <f t="shared" si="6"/>
        <v>0</v>
      </c>
      <c r="S88" s="607">
        <f t="shared" si="6"/>
        <v>0</v>
      </c>
      <c r="T88" s="607">
        <f t="shared" si="6"/>
        <v>0</v>
      </c>
      <c r="U88" s="607">
        <f t="shared" si="6"/>
        <v>0</v>
      </c>
      <c r="V88" s="607">
        <f t="shared" si="6"/>
        <v>0</v>
      </c>
      <c r="W88" s="607">
        <f t="shared" si="6"/>
        <v>0</v>
      </c>
      <c r="X88" s="607">
        <f t="shared" si="6"/>
        <v>0</v>
      </c>
      <c r="Y88" s="797">
        <f t="shared" si="4"/>
        <v>1920000</v>
      </c>
      <c r="Z88" s="794">
        <f>SUM(Z87)</f>
        <v>0</v>
      </c>
      <c r="AA88" s="647">
        <f>SUM(AA87)</f>
        <v>5000</v>
      </c>
      <c r="AB88" s="647">
        <f>SUM(AB2:AB87)</f>
        <v>0</v>
      </c>
      <c r="AC88" s="596"/>
      <c r="AD88" s="302"/>
    </row>
    <row r="89" spans="1:30" ht="15">
      <c r="A89" s="959"/>
      <c r="B89" s="990" t="s">
        <v>1282</v>
      </c>
      <c r="C89" s="996" t="s">
        <v>1284</v>
      </c>
      <c r="D89" s="997" t="s">
        <v>660</v>
      </c>
      <c r="E89" s="993">
        <v>103200</v>
      </c>
      <c r="F89" s="993">
        <v>106600</v>
      </c>
      <c r="G89" s="993">
        <v>106600</v>
      </c>
      <c r="H89" s="993">
        <v>106600</v>
      </c>
      <c r="I89" s="993">
        <v>106600</v>
      </c>
      <c r="J89" s="993">
        <v>106600</v>
      </c>
      <c r="K89" s="993">
        <v>106600</v>
      </c>
      <c r="L89" s="993">
        <v>106600</v>
      </c>
      <c r="M89" s="993">
        <v>106600</v>
      </c>
      <c r="N89" s="993">
        <v>106600</v>
      </c>
      <c r="O89" s="993">
        <v>106600</v>
      </c>
      <c r="P89" s="993">
        <v>106600</v>
      </c>
      <c r="Q89" s="612">
        <f>SUBTOTAL(9,E89:P89)</f>
        <v>1275800</v>
      </c>
      <c r="R89" s="993"/>
      <c r="S89" s="954"/>
      <c r="T89" s="993"/>
      <c r="U89" s="993"/>
      <c r="V89" s="993"/>
      <c r="W89" s="993"/>
      <c r="X89" s="998"/>
      <c r="Y89" s="797">
        <f t="shared" si="4"/>
        <v>1275800</v>
      </c>
      <c r="Z89" s="955"/>
      <c r="AA89" s="956"/>
      <c r="AB89" s="956"/>
      <c r="AC89" s="956"/>
      <c r="AD89" s="983"/>
    </row>
    <row r="90" spans="1:30" ht="15">
      <c r="A90" s="959"/>
      <c r="B90" s="990" t="s">
        <v>1283</v>
      </c>
      <c r="C90" s="996" t="s">
        <v>1284</v>
      </c>
      <c r="D90" s="997" t="s">
        <v>661</v>
      </c>
      <c r="E90" s="993">
        <v>129500</v>
      </c>
      <c r="F90" s="993">
        <v>129500</v>
      </c>
      <c r="G90" s="993">
        <v>129500</v>
      </c>
      <c r="H90" s="993">
        <v>129500</v>
      </c>
      <c r="I90" s="993">
        <v>129500</v>
      </c>
      <c r="J90" s="993">
        <v>129500</v>
      </c>
      <c r="K90" s="993">
        <v>129500</v>
      </c>
      <c r="L90" s="993">
        <v>129500</v>
      </c>
      <c r="M90" s="993">
        <v>129500</v>
      </c>
      <c r="N90" s="993">
        <v>129500</v>
      </c>
      <c r="O90" s="993">
        <v>129500</v>
      </c>
      <c r="P90" s="993">
        <v>129500</v>
      </c>
      <c r="Q90" s="612">
        <f>SUBTOTAL(9,E90:P90)</f>
        <v>1554000</v>
      </c>
      <c r="R90" s="993">
        <f>220500*12</f>
        <v>2646000</v>
      </c>
      <c r="S90" s="954"/>
      <c r="T90" s="993"/>
      <c r="U90" s="993"/>
      <c r="V90" s="993"/>
      <c r="W90" s="993"/>
      <c r="X90" s="998"/>
      <c r="Y90" s="797">
        <f t="shared" si="4"/>
        <v>4200000</v>
      </c>
      <c r="Z90" s="955"/>
      <c r="AA90" s="956"/>
      <c r="AB90" s="956"/>
      <c r="AC90" s="956"/>
      <c r="AD90" s="983"/>
    </row>
    <row r="91" spans="1:30" ht="15">
      <c r="A91" s="959"/>
      <c r="B91" s="994" t="s">
        <v>24</v>
      </c>
      <c r="C91" s="996"/>
      <c r="D91" s="997"/>
      <c r="E91" s="993"/>
      <c r="F91" s="993"/>
      <c r="G91" s="993"/>
      <c r="H91" s="993"/>
      <c r="I91" s="993"/>
      <c r="J91" s="993"/>
      <c r="K91" s="993"/>
      <c r="L91" s="993"/>
      <c r="M91" s="993"/>
      <c r="N91" s="993"/>
      <c r="O91" s="993"/>
      <c r="P91" s="993"/>
      <c r="Q91" s="612">
        <f aca="true" t="shared" si="7" ref="Q91:X91">SUM(Q89:Q90)</f>
        <v>2829800</v>
      </c>
      <c r="R91" s="607">
        <f t="shared" si="7"/>
        <v>2646000</v>
      </c>
      <c r="S91" s="607">
        <f t="shared" si="7"/>
        <v>0</v>
      </c>
      <c r="T91" s="607">
        <f t="shared" si="7"/>
        <v>0</v>
      </c>
      <c r="U91" s="607">
        <f t="shared" si="7"/>
        <v>0</v>
      </c>
      <c r="V91" s="607">
        <f t="shared" si="7"/>
        <v>0</v>
      </c>
      <c r="W91" s="607">
        <f t="shared" si="7"/>
        <v>0</v>
      </c>
      <c r="X91" s="607">
        <f t="shared" si="7"/>
        <v>0</v>
      </c>
      <c r="Y91" s="797">
        <f t="shared" si="4"/>
        <v>5475800</v>
      </c>
      <c r="Z91" s="792">
        <f>SUM(Z89:Z90)</f>
        <v>0</v>
      </c>
      <c r="AA91" s="596">
        <f>SUM(AA89:AA90)</f>
        <v>0</v>
      </c>
      <c r="AB91" s="596">
        <f>SUM(AB89:AB90)</f>
        <v>0</v>
      </c>
      <c r="AC91" s="596"/>
      <c r="AD91" s="302"/>
    </row>
    <row r="92" spans="1:30" ht="15">
      <c r="A92" s="959"/>
      <c r="B92" s="601" t="s">
        <v>1278</v>
      </c>
      <c r="C92" s="597"/>
      <c r="D92" s="632"/>
      <c r="E92" s="607">
        <v>174000</v>
      </c>
      <c r="F92" s="607">
        <v>174000</v>
      </c>
      <c r="G92" s="607">
        <v>174000</v>
      </c>
      <c r="H92" s="607">
        <v>174000</v>
      </c>
      <c r="I92" s="607">
        <v>174000</v>
      </c>
      <c r="J92" s="607">
        <v>174000</v>
      </c>
      <c r="K92" s="607">
        <v>174000</v>
      </c>
      <c r="L92" s="607">
        <v>174000</v>
      </c>
      <c r="M92" s="607">
        <v>174000</v>
      </c>
      <c r="N92" s="607">
        <v>174000</v>
      </c>
      <c r="O92" s="607">
        <v>174000</v>
      </c>
      <c r="P92" s="607">
        <v>174000</v>
      </c>
      <c r="Q92" s="612">
        <f>SUBTOTAL(9,E92:P92)</f>
        <v>2088000</v>
      </c>
      <c r="R92" s="607"/>
      <c r="S92" s="610"/>
      <c r="T92" s="607"/>
      <c r="U92" s="607"/>
      <c r="V92" s="607"/>
      <c r="W92" s="607"/>
      <c r="X92" s="784"/>
      <c r="Y92" s="797">
        <f t="shared" si="4"/>
        <v>2088000</v>
      </c>
      <c r="Z92" s="792"/>
      <c r="AA92" s="596"/>
      <c r="AB92" s="596"/>
      <c r="AC92" s="596"/>
      <c r="AD92" s="302"/>
    </row>
    <row r="93" spans="1:30" ht="15">
      <c r="A93" s="959"/>
      <c r="B93" s="601" t="s">
        <v>1407</v>
      </c>
      <c r="C93" s="597"/>
      <c r="D93" s="629" t="s">
        <v>17</v>
      </c>
      <c r="E93" s="607">
        <v>130690</v>
      </c>
      <c r="F93" s="607">
        <v>130690</v>
      </c>
      <c r="G93" s="607">
        <v>130690</v>
      </c>
      <c r="H93" s="607">
        <v>130690</v>
      </c>
      <c r="I93" s="607">
        <v>130690</v>
      </c>
      <c r="J93" s="607">
        <v>130690</v>
      </c>
      <c r="K93" s="607">
        <v>130690</v>
      </c>
      <c r="L93" s="607">
        <v>130690</v>
      </c>
      <c r="M93" s="607">
        <v>130690</v>
      </c>
      <c r="N93" s="607">
        <v>130690</v>
      </c>
      <c r="O93" s="607">
        <v>130690</v>
      </c>
      <c r="P93" s="607">
        <v>130690</v>
      </c>
      <c r="Q93" s="612">
        <f>SUBTOTAL(9,E93:P93)</f>
        <v>1568280</v>
      </c>
      <c r="R93" s="607"/>
      <c r="S93" s="610"/>
      <c r="T93" s="607"/>
      <c r="U93" s="607"/>
      <c r="V93" s="607"/>
      <c r="W93" s="607"/>
      <c r="X93" s="784"/>
      <c r="Y93" s="797">
        <f t="shared" si="4"/>
        <v>1568280</v>
      </c>
      <c r="Z93" s="792"/>
      <c r="AA93" s="596">
        <f>5000*0.3</f>
        <v>1500</v>
      </c>
      <c r="AB93" s="596"/>
      <c r="AC93" s="600"/>
      <c r="AD93" s="302"/>
    </row>
    <row r="94" spans="1:30" ht="15">
      <c r="A94" s="959"/>
      <c r="B94" s="601" t="s">
        <v>1280</v>
      </c>
      <c r="C94" s="597"/>
      <c r="D94" s="632"/>
      <c r="E94" s="607">
        <v>50000</v>
      </c>
      <c r="F94" s="607">
        <v>50000</v>
      </c>
      <c r="G94" s="607">
        <v>50000</v>
      </c>
      <c r="H94" s="607">
        <v>50000</v>
      </c>
      <c r="I94" s="607">
        <v>50000</v>
      </c>
      <c r="J94" s="607">
        <v>50000</v>
      </c>
      <c r="K94" s="607">
        <v>50000</v>
      </c>
      <c r="L94" s="607">
        <v>50000</v>
      </c>
      <c r="M94" s="607">
        <v>50000</v>
      </c>
      <c r="N94" s="607">
        <v>50000</v>
      </c>
      <c r="O94" s="607">
        <v>50000</v>
      </c>
      <c r="P94" s="607">
        <v>50000</v>
      </c>
      <c r="Q94" s="612">
        <f>SUBTOTAL(9,E94:P94)</f>
        <v>600000</v>
      </c>
      <c r="R94" s="607"/>
      <c r="S94" s="610"/>
      <c r="T94" s="607"/>
      <c r="U94" s="607"/>
      <c r="V94" s="607"/>
      <c r="W94" s="607"/>
      <c r="X94" s="784"/>
      <c r="Y94" s="797">
        <f t="shared" si="4"/>
        <v>600000</v>
      </c>
      <c r="Z94" s="792"/>
      <c r="AA94" s="596"/>
      <c r="AB94" s="596"/>
      <c r="AC94" s="596"/>
      <c r="AD94" s="302"/>
    </row>
    <row r="95" spans="1:30" ht="15">
      <c r="A95" s="302"/>
      <c r="B95" s="635" t="s">
        <v>21</v>
      </c>
      <c r="C95" s="597"/>
      <c r="D95" s="632"/>
      <c r="E95" s="607"/>
      <c r="F95" s="607"/>
      <c r="G95" s="607"/>
      <c r="H95" s="607"/>
      <c r="I95" s="607"/>
      <c r="J95" s="607"/>
      <c r="K95" s="607"/>
      <c r="L95" s="607"/>
      <c r="M95" s="607"/>
      <c r="N95" s="607"/>
      <c r="O95" s="607"/>
      <c r="P95" s="607"/>
      <c r="Q95" s="612">
        <f aca="true" t="shared" si="8" ref="Q95:X95">SUM(Q92:Q94)</f>
        <v>4256280</v>
      </c>
      <c r="R95" s="607">
        <f t="shared" si="8"/>
        <v>0</v>
      </c>
      <c r="S95" s="607">
        <f t="shared" si="8"/>
        <v>0</v>
      </c>
      <c r="T95" s="607">
        <f t="shared" si="8"/>
        <v>0</v>
      </c>
      <c r="U95" s="607">
        <f t="shared" si="8"/>
        <v>0</v>
      </c>
      <c r="V95" s="607">
        <f t="shared" si="8"/>
        <v>0</v>
      </c>
      <c r="W95" s="607">
        <f t="shared" si="8"/>
        <v>0</v>
      </c>
      <c r="X95" s="607">
        <f t="shared" si="8"/>
        <v>0</v>
      </c>
      <c r="Y95" s="797">
        <f t="shared" si="4"/>
        <v>4256280</v>
      </c>
      <c r="Z95" s="792">
        <f>SUM(Z92:Z94)</f>
        <v>0</v>
      </c>
      <c r="AA95" s="596">
        <f>SUM(AA92:AA94)</f>
        <v>1500</v>
      </c>
      <c r="AB95" s="596">
        <f>SUM(AB92:AB94)</f>
        <v>0</v>
      </c>
      <c r="AC95" s="596"/>
      <c r="AD95" s="302"/>
    </row>
    <row r="96" spans="1:30" ht="15">
      <c r="A96" s="959"/>
      <c r="B96" s="601" t="s">
        <v>603</v>
      </c>
      <c r="C96" s="614" t="s">
        <v>3</v>
      </c>
      <c r="D96" s="633" t="s">
        <v>662</v>
      </c>
      <c r="E96" s="607">
        <v>58500</v>
      </c>
      <c r="F96" s="607">
        <v>58500</v>
      </c>
      <c r="G96" s="607">
        <v>58500</v>
      </c>
      <c r="H96" s="607">
        <v>58500</v>
      </c>
      <c r="I96" s="607">
        <v>58500</v>
      </c>
      <c r="J96" s="607">
        <v>58500</v>
      </c>
      <c r="K96" s="607">
        <v>58500</v>
      </c>
      <c r="L96" s="607">
        <v>58500</v>
      </c>
      <c r="M96" s="607">
        <v>58500</v>
      </c>
      <c r="N96" s="607">
        <v>58500</v>
      </c>
      <c r="O96" s="607">
        <v>58500</v>
      </c>
      <c r="P96" s="607">
        <v>58500</v>
      </c>
      <c r="Q96" s="612">
        <f>SUBTOTAL(9,E96:P96)</f>
        <v>702000</v>
      </c>
      <c r="R96" s="607">
        <f>5000*12</f>
        <v>60000</v>
      </c>
      <c r="S96" s="610"/>
      <c r="T96" s="607"/>
      <c r="U96" s="607"/>
      <c r="V96" s="607"/>
      <c r="W96" s="607"/>
      <c r="X96" s="784"/>
      <c r="Y96" s="797">
        <f t="shared" si="4"/>
        <v>762000</v>
      </c>
      <c r="Z96" s="792"/>
      <c r="AA96" s="596"/>
      <c r="AB96" s="596"/>
      <c r="AC96" s="596"/>
      <c r="AD96" s="302"/>
    </row>
    <row r="97" spans="1:30" ht="15">
      <c r="A97" s="959"/>
      <c r="B97" s="601" t="s">
        <v>161</v>
      </c>
      <c r="C97" s="614" t="s">
        <v>3</v>
      </c>
      <c r="D97" s="633" t="s">
        <v>663</v>
      </c>
      <c r="E97" s="607">
        <v>62200</v>
      </c>
      <c r="F97" s="607">
        <v>62200</v>
      </c>
      <c r="G97" s="607">
        <v>62200</v>
      </c>
      <c r="H97" s="607">
        <v>62200</v>
      </c>
      <c r="I97" s="607">
        <v>62200</v>
      </c>
      <c r="J97" s="607">
        <v>62200</v>
      </c>
      <c r="K97" s="607">
        <v>62200</v>
      </c>
      <c r="L97" s="607">
        <v>62200</v>
      </c>
      <c r="M97" s="607">
        <v>62200</v>
      </c>
      <c r="N97" s="607">
        <v>62200</v>
      </c>
      <c r="O97" s="607">
        <v>62200</v>
      </c>
      <c r="P97" s="607">
        <v>62200</v>
      </c>
      <c r="Q97" s="612">
        <f>SUBTOTAL(9,E97:P97)</f>
        <v>746400</v>
      </c>
      <c r="R97" s="607">
        <f>5000*12</f>
        <v>60000</v>
      </c>
      <c r="S97" s="610"/>
      <c r="T97" s="607"/>
      <c r="U97" s="607"/>
      <c r="V97" s="607"/>
      <c r="W97" s="607"/>
      <c r="X97" s="784"/>
      <c r="Y97" s="797">
        <f t="shared" si="4"/>
        <v>806400</v>
      </c>
      <c r="Z97" s="792"/>
      <c r="AA97" s="596"/>
      <c r="AB97" s="596"/>
      <c r="AC97" s="596"/>
      <c r="AD97" s="302"/>
    </row>
    <row r="98" spans="1:30" ht="15">
      <c r="A98" s="959"/>
      <c r="B98" s="601" t="s">
        <v>162</v>
      </c>
      <c r="C98" s="614" t="s">
        <v>3</v>
      </c>
      <c r="D98" s="633" t="s">
        <v>663</v>
      </c>
      <c r="E98" s="604">
        <v>62200</v>
      </c>
      <c r="F98" s="604">
        <v>62200</v>
      </c>
      <c r="G98" s="604">
        <v>62200</v>
      </c>
      <c r="H98" s="604">
        <v>62200</v>
      </c>
      <c r="I98" s="604">
        <v>62200</v>
      </c>
      <c r="J98" s="604">
        <v>62200</v>
      </c>
      <c r="K98" s="604">
        <v>62200</v>
      </c>
      <c r="L98" s="604">
        <v>62200</v>
      </c>
      <c r="M98" s="604">
        <v>62200</v>
      </c>
      <c r="N98" s="604">
        <v>62200</v>
      </c>
      <c r="O98" s="604">
        <v>62200</v>
      </c>
      <c r="P98" s="604">
        <v>62200</v>
      </c>
      <c r="Q98" s="611">
        <f>SUBTOTAL(9,E98:P98)</f>
        <v>746400</v>
      </c>
      <c r="R98" s="607">
        <f>5000*12</f>
        <v>60000</v>
      </c>
      <c r="S98" s="638"/>
      <c r="T98" s="604"/>
      <c r="U98" s="604"/>
      <c r="V98" s="604"/>
      <c r="W98" s="604"/>
      <c r="X98" s="791"/>
      <c r="Y98" s="797">
        <f t="shared" si="4"/>
        <v>806400</v>
      </c>
      <c r="Z98" s="792"/>
      <c r="AA98" s="596"/>
      <c r="AB98" s="596"/>
      <c r="AC98" s="596"/>
      <c r="AD98" s="302"/>
    </row>
    <row r="99" spans="1:30" ht="15.75" thickBot="1">
      <c r="A99" s="302"/>
      <c r="B99" s="635" t="s">
        <v>22</v>
      </c>
      <c r="C99" s="597"/>
      <c r="D99" s="632"/>
      <c r="E99" s="637"/>
      <c r="F99" s="597"/>
      <c r="G99" s="597"/>
      <c r="H99" s="597"/>
      <c r="I99" s="597"/>
      <c r="J99" s="597"/>
      <c r="K99" s="597"/>
      <c r="L99" s="597"/>
      <c r="M99" s="597"/>
      <c r="N99" s="597"/>
      <c r="O99" s="597"/>
      <c r="P99" s="597"/>
      <c r="Q99" s="604">
        <f aca="true" t="shared" si="9" ref="Q99:X99">SUM(Q96:Q98)</f>
        <v>2194800</v>
      </c>
      <c r="R99" s="958">
        <f t="shared" si="9"/>
        <v>180000</v>
      </c>
      <c r="S99" s="958">
        <f t="shared" si="9"/>
        <v>0</v>
      </c>
      <c r="T99" s="958">
        <f t="shared" si="9"/>
        <v>0</v>
      </c>
      <c r="U99" s="958">
        <f t="shared" si="9"/>
        <v>0</v>
      </c>
      <c r="V99" s="958">
        <f t="shared" si="9"/>
        <v>0</v>
      </c>
      <c r="W99" s="958">
        <f t="shared" si="9"/>
        <v>0</v>
      </c>
      <c r="X99" s="958">
        <f t="shared" si="9"/>
        <v>0</v>
      </c>
      <c r="Y99" s="798">
        <f t="shared" si="4"/>
        <v>2374800</v>
      </c>
      <c r="Z99" s="792">
        <f>SUM(Z96:Z98)</f>
        <v>0</v>
      </c>
      <c r="AA99" s="596">
        <f>SUM(AA96:AA98)</f>
        <v>0</v>
      </c>
      <c r="AB99" s="596">
        <f>SUM(AB96:AB98)</f>
        <v>0</v>
      </c>
      <c r="AC99" s="596"/>
      <c r="AD99" s="302"/>
    </row>
    <row r="100" spans="1:30" ht="15">
      <c r="A100" s="302"/>
      <c r="B100" s="602"/>
      <c r="C100" s="470"/>
      <c r="D100" s="634"/>
      <c r="E100" s="603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603"/>
      <c r="R100" s="470"/>
      <c r="S100" s="639"/>
      <c r="T100" s="470"/>
      <c r="U100" s="470"/>
      <c r="V100" s="470"/>
      <c r="W100" s="470"/>
      <c r="X100" s="470"/>
      <c r="Y100" s="470"/>
      <c r="Z100" s="302"/>
      <c r="AA100" s="302"/>
      <c r="AB100" s="302"/>
      <c r="AC100" s="302"/>
      <c r="AD100" s="302"/>
    </row>
    <row r="101" spans="1:30" ht="15">
      <c r="A101" s="302"/>
      <c r="B101" s="602"/>
      <c r="C101" s="470"/>
      <c r="D101" s="634"/>
      <c r="E101" s="603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603"/>
      <c r="R101" s="470"/>
      <c r="S101" s="639"/>
      <c r="T101" s="470"/>
      <c r="U101" s="470"/>
      <c r="V101" s="470"/>
      <c r="W101" s="801" t="s">
        <v>1293</v>
      </c>
      <c r="X101" s="802" t="e">
        <f>Y7+Y5+Y18+Y20+Y42+Y44+Y48+#REF!+Y62+#REF!+Y64+Y40+Y68+#REF!+Y74+#REF!+Y83</f>
        <v>#REF!</v>
      </c>
      <c r="Y101" s="802">
        <f>Y86+Y88+Y91+Y95+Y99</f>
        <v>120952282</v>
      </c>
      <c r="Z101" s="802">
        <f>Z86+Z88+Z91+Z95+Z99</f>
        <v>0</v>
      </c>
      <c r="AA101" s="802">
        <f>AA86+AA88+AA91+AA95+AA99</f>
        <v>216500</v>
      </c>
      <c r="AB101" s="802">
        <f>AB86+AB88+AB91+AB95+AB99</f>
        <v>0</v>
      </c>
      <c r="AC101" s="302"/>
      <c r="AD101" s="302"/>
    </row>
    <row r="102" spans="1:30" ht="15">
      <c r="A102" s="302"/>
      <c r="B102" s="602"/>
      <c r="C102" s="470"/>
      <c r="D102" s="634"/>
      <c r="E102" s="603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603"/>
      <c r="R102" s="470"/>
      <c r="S102" s="639"/>
      <c r="T102" s="470"/>
      <c r="U102" s="470"/>
      <c r="V102" s="470"/>
      <c r="W102" s="470"/>
      <c r="X102" s="470"/>
      <c r="Y102" s="802">
        <f>ROUND(Y101,-3)/1000</f>
        <v>120952</v>
      </c>
      <c r="Z102" s="802">
        <f>ROUND(Z101,-3)/1000</f>
        <v>0</v>
      </c>
      <c r="AA102" s="802">
        <f>ROUND(AA101,-3)/1000</f>
        <v>217</v>
      </c>
      <c r="AB102" s="802">
        <f>ROUND(AB101,-3)/1000</f>
        <v>0</v>
      </c>
      <c r="AC102" s="302"/>
      <c r="AD102" s="302"/>
    </row>
  </sheetData>
  <sheetProtection/>
  <printOptions/>
  <pageMargins left="0.75" right="2.27" top="1" bottom="1" header="0.5" footer="0.5"/>
  <pageSetup horizontalDpi="300" verticalDpi="300" orientation="landscape" paperSize="8" scale="5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C00000"/>
  </sheetPr>
  <dimension ref="A1:J37"/>
  <sheetViews>
    <sheetView view="pageBreakPreview" zoomScaleSheetLayoutView="100" zoomScalePageLayoutView="0" workbookViewId="0" topLeftCell="A13">
      <selection activeCell="A2" sqref="A2:C2"/>
    </sheetView>
  </sheetViews>
  <sheetFormatPr defaultColWidth="9.140625" defaultRowHeight="27" customHeight="1"/>
  <cols>
    <col min="1" max="1" width="13.8515625" style="98" customWidth="1"/>
    <col min="2" max="2" width="50.8515625" style="98" customWidth="1"/>
    <col min="3" max="3" width="12.8515625" style="98" customWidth="1"/>
    <col min="4" max="4" width="12.7109375" style="105" customWidth="1"/>
    <col min="5" max="5" width="13.00390625" style="105" customWidth="1"/>
    <col min="6" max="16384" width="9.140625" style="98" customWidth="1"/>
  </cols>
  <sheetData>
    <row r="1" ht="27" customHeight="1">
      <c r="B1" s="101" t="s">
        <v>1</v>
      </c>
    </row>
    <row r="2" spans="1:4" ht="32.25" customHeight="1">
      <c r="A2" s="2522" t="s">
        <v>1032</v>
      </c>
      <c r="B2" s="2522"/>
      <c r="C2" s="2522"/>
      <c r="D2" s="620"/>
    </row>
    <row r="3" ht="27" customHeight="1">
      <c r="E3" s="621" t="s">
        <v>1369</v>
      </c>
    </row>
    <row r="4" spans="1:5" ht="15">
      <c r="A4" s="338">
        <v>511111</v>
      </c>
      <c r="B4" s="338" t="s">
        <v>87</v>
      </c>
      <c r="C4" s="616">
        <f>+Bérek2012!Q8+Bérek2012!Q11+Bérek2012!Q27+Bérek2012!Q29+Bérek2012!Q38+Bérek2012!Q4</f>
        <v>11425500</v>
      </c>
      <c r="D4" s="616">
        <f>+ROUND(C4,-3)/1000</f>
        <v>11426</v>
      </c>
      <c r="E4" s="616">
        <f>+D4</f>
        <v>11426</v>
      </c>
    </row>
    <row r="5" spans="1:5" s="30" customFormat="1" ht="15.75">
      <c r="A5" s="338">
        <v>511121</v>
      </c>
      <c r="B5" s="338" t="s">
        <v>1064</v>
      </c>
      <c r="C5" s="616">
        <f>Bérek2012!R8+Bérek2012!R11+Bérek2012!R27+Bérek2012!R29++++++++Bérek2012!R38</f>
        <v>0</v>
      </c>
      <c r="D5" s="616">
        <f aca="true" t="shared" si="0" ref="D5:D16">+ROUND(C5,-3)/1000</f>
        <v>0</v>
      </c>
      <c r="E5" s="616">
        <f aca="true" t="shared" si="1" ref="E5:E16">+D5</f>
        <v>0</v>
      </c>
    </row>
    <row r="6" spans="1:5" ht="15">
      <c r="A6" s="338">
        <v>511141</v>
      </c>
      <c r="B6" s="338" t="s">
        <v>90</v>
      </c>
      <c r="C6" s="616">
        <f>Bérek2012!S8+Bérek2012!S11+Bérek2012!S27+Bérek2012!S29+Bérek2012!S38+Bérek2012!S4</f>
        <v>1252260</v>
      </c>
      <c r="D6" s="616">
        <f t="shared" si="0"/>
        <v>1252</v>
      </c>
      <c r="E6" s="616">
        <f t="shared" si="1"/>
        <v>1252</v>
      </c>
    </row>
    <row r="7" spans="1:5" ht="15">
      <c r="A7" s="338">
        <v>512191</v>
      </c>
      <c r="B7" s="338" t="s">
        <v>1066</v>
      </c>
      <c r="C7" s="616">
        <v>0</v>
      </c>
      <c r="D7" s="616">
        <f t="shared" si="0"/>
        <v>0</v>
      </c>
      <c r="E7" s="616">
        <f t="shared" si="1"/>
        <v>0</v>
      </c>
    </row>
    <row r="8" spans="1:5" ht="15">
      <c r="A8" s="338">
        <v>51311</v>
      </c>
      <c r="B8" s="338" t="s">
        <v>1405</v>
      </c>
      <c r="C8" s="616">
        <v>0</v>
      </c>
      <c r="D8" s="616">
        <f t="shared" si="0"/>
        <v>0</v>
      </c>
      <c r="E8" s="616">
        <f t="shared" si="1"/>
        <v>0</v>
      </c>
    </row>
    <row r="9" spans="1:5" ht="15">
      <c r="A9" s="338">
        <v>513121</v>
      </c>
      <c r="B9" s="338" t="s">
        <v>1404</v>
      </c>
      <c r="C9" s="616">
        <f>Bérek2012!W8+Bérek2012!W11+Bérek2012!W27+Bérek2012!W29+Bérek2012!W38</f>
        <v>0</v>
      </c>
      <c r="D9" s="616">
        <f t="shared" si="0"/>
        <v>0</v>
      </c>
      <c r="E9" s="616">
        <f t="shared" si="1"/>
        <v>0</v>
      </c>
    </row>
    <row r="10" spans="1:5" ht="15">
      <c r="A10" s="338">
        <v>513131</v>
      </c>
      <c r="B10" s="338" t="s">
        <v>1469</v>
      </c>
      <c r="C10" s="616">
        <v>30000</v>
      </c>
      <c r="D10" s="616">
        <f t="shared" si="0"/>
        <v>30</v>
      </c>
      <c r="E10" s="616">
        <v>30</v>
      </c>
    </row>
    <row r="11" spans="1:5" ht="15">
      <c r="A11" s="338">
        <v>5131912</v>
      </c>
      <c r="B11" s="338" t="s">
        <v>1972</v>
      </c>
      <c r="C11" s="616">
        <v>0</v>
      </c>
      <c r="D11" s="616">
        <f t="shared" si="0"/>
        <v>0</v>
      </c>
      <c r="E11" s="616">
        <f t="shared" si="1"/>
        <v>0</v>
      </c>
    </row>
    <row r="12" spans="1:10" ht="15">
      <c r="A12" s="338">
        <v>514111</v>
      </c>
      <c r="B12" s="338" t="s">
        <v>95</v>
      </c>
      <c r="C12" s="616">
        <v>0</v>
      </c>
      <c r="D12" s="616">
        <f t="shared" si="0"/>
        <v>0</v>
      </c>
      <c r="E12" s="616">
        <f t="shared" si="1"/>
        <v>0</v>
      </c>
      <c r="J12" s="98" t="s">
        <v>1177</v>
      </c>
    </row>
    <row r="13" spans="1:5" ht="15">
      <c r="A13" s="338">
        <v>514121</v>
      </c>
      <c r="B13" s="338" t="s">
        <v>1063</v>
      </c>
      <c r="C13" s="616"/>
      <c r="D13" s="616">
        <f t="shared" si="0"/>
        <v>0</v>
      </c>
      <c r="E13" s="616">
        <f t="shared" si="1"/>
        <v>0</v>
      </c>
    </row>
    <row r="14" spans="1:5" ht="15">
      <c r="A14" s="338">
        <v>514131</v>
      </c>
      <c r="B14" s="338" t="s">
        <v>1470</v>
      </c>
      <c r="C14" s="616">
        <f>46*9*20*12+(16*9*20*12)</f>
        <v>133920</v>
      </c>
      <c r="D14" s="616">
        <f t="shared" si="0"/>
        <v>134</v>
      </c>
      <c r="E14" s="616">
        <f t="shared" si="1"/>
        <v>134</v>
      </c>
    </row>
    <row r="15" spans="1:5" ht="15">
      <c r="A15" s="338">
        <v>5141</v>
      </c>
      <c r="B15" s="338" t="s">
        <v>988</v>
      </c>
      <c r="C15" s="616">
        <v>875000</v>
      </c>
      <c r="D15" s="616">
        <f t="shared" si="0"/>
        <v>875</v>
      </c>
      <c r="E15" s="616">
        <f t="shared" si="1"/>
        <v>875</v>
      </c>
    </row>
    <row r="16" spans="1:5" ht="15">
      <c r="A16" s="338">
        <v>514191</v>
      </c>
      <c r="B16" s="338" t="s">
        <v>1973</v>
      </c>
      <c r="C16" s="616">
        <v>0</v>
      </c>
      <c r="D16" s="616">
        <f t="shared" si="0"/>
        <v>0</v>
      </c>
      <c r="E16" s="616">
        <f t="shared" si="1"/>
        <v>0</v>
      </c>
    </row>
    <row r="17" spans="1:5" s="97" customFormat="1" ht="15.75">
      <c r="A17" s="617" t="s">
        <v>164</v>
      </c>
      <c r="B17" s="618" t="s">
        <v>1471</v>
      </c>
      <c r="C17" s="619">
        <f>SUM(C4:C16)</f>
        <v>13716680</v>
      </c>
      <c r="D17" s="619"/>
      <c r="E17" s="619">
        <f>SUM(E4:E16)</f>
        <v>13717</v>
      </c>
    </row>
    <row r="18" spans="1:5" ht="15.75">
      <c r="A18" s="338">
        <v>53111</v>
      </c>
      <c r="B18" s="338" t="s">
        <v>18</v>
      </c>
      <c r="C18" s="100">
        <f>(C4+C6+C10)*0.24</f>
        <v>3049862.4</v>
      </c>
      <c r="D18" s="100"/>
      <c r="E18" s="100">
        <v>3050</v>
      </c>
    </row>
    <row r="19" spans="1:5" ht="15.75" customHeight="1">
      <c r="A19" s="623">
        <v>53112</v>
      </c>
      <c r="B19" s="623" t="s">
        <v>1068</v>
      </c>
      <c r="C19" s="616">
        <f>(C4+C6+C10)*0.03</f>
        <v>381232.8</v>
      </c>
      <c r="D19" s="616">
        <f>+ROUND(C19,-3)/1000</f>
        <v>381</v>
      </c>
      <c r="E19" s="616">
        <f>+D19</f>
        <v>381</v>
      </c>
    </row>
    <row r="20" spans="1:5" s="97" customFormat="1" ht="15.75" customHeight="1">
      <c r="A20" s="622">
        <v>53</v>
      </c>
      <c r="B20" s="618" t="s">
        <v>374</v>
      </c>
      <c r="C20" s="619">
        <f>SUM(C18:C19)</f>
        <v>3431095.1999999997</v>
      </c>
      <c r="D20" s="619"/>
      <c r="E20" s="619">
        <f>SUM(E18:E19)</f>
        <v>3431</v>
      </c>
    </row>
    <row r="21" spans="1:5" ht="15.75" customHeight="1">
      <c r="A21" s="99"/>
      <c r="B21" s="99"/>
      <c r="C21" s="100"/>
      <c r="D21" s="100"/>
      <c r="E21" s="100"/>
    </row>
    <row r="22" spans="1:5" ht="15.75" customHeight="1">
      <c r="A22" s="338">
        <v>5431</v>
      </c>
      <c r="B22" s="338" t="s">
        <v>1472</v>
      </c>
      <c r="C22" s="616">
        <v>47000</v>
      </c>
      <c r="D22" s="616"/>
      <c r="E22" s="616">
        <v>47</v>
      </c>
    </row>
    <row r="23" spans="1:5" ht="15.75" customHeight="1">
      <c r="A23" s="338">
        <v>54411</v>
      </c>
      <c r="B23" s="338" t="s">
        <v>1473</v>
      </c>
      <c r="C23" s="616">
        <v>50000</v>
      </c>
      <c r="D23" s="616"/>
      <c r="E23" s="616">
        <v>50</v>
      </c>
    </row>
    <row r="24" spans="1:5" ht="15.75" customHeight="1">
      <c r="A24" s="338">
        <v>54412</v>
      </c>
      <c r="B24" s="338" t="s">
        <v>1974</v>
      </c>
      <c r="C24" s="616">
        <v>50000</v>
      </c>
      <c r="D24" s="616"/>
      <c r="E24" s="616">
        <v>50</v>
      </c>
    </row>
    <row r="25" spans="1:5" ht="15.75" customHeight="1">
      <c r="A25" s="338">
        <v>54712</v>
      </c>
      <c r="B25" s="338" t="s">
        <v>1474</v>
      </c>
      <c r="C25" s="616">
        <v>50000</v>
      </c>
      <c r="D25" s="616"/>
      <c r="E25" s="616">
        <v>50</v>
      </c>
    </row>
    <row r="26" spans="1:5" ht="15.75" customHeight="1">
      <c r="A26" s="338">
        <v>5491</v>
      </c>
      <c r="B26" s="338" t="s">
        <v>989</v>
      </c>
      <c r="C26" s="616">
        <v>100000</v>
      </c>
      <c r="D26" s="616"/>
      <c r="E26" s="616">
        <v>100</v>
      </c>
    </row>
    <row r="27" spans="1:5" ht="15.75" customHeight="1">
      <c r="A27" s="338">
        <v>55111</v>
      </c>
      <c r="B27" s="338" t="s">
        <v>1475</v>
      </c>
      <c r="C27" s="616">
        <v>280000</v>
      </c>
      <c r="D27" s="616"/>
      <c r="E27" s="616">
        <v>280</v>
      </c>
    </row>
    <row r="28" spans="1:5" ht="15.75" customHeight="1">
      <c r="A28" s="338">
        <v>55213</v>
      </c>
      <c r="B28" s="338" t="s">
        <v>114</v>
      </c>
      <c r="C28" s="616"/>
      <c r="D28" s="616"/>
      <c r="E28" s="616"/>
    </row>
    <row r="29" spans="1:5" ht="15.75" customHeight="1">
      <c r="A29" s="338">
        <v>55219</v>
      </c>
      <c r="B29" s="338" t="s">
        <v>1476</v>
      </c>
      <c r="C29" s="616">
        <v>80000</v>
      </c>
      <c r="D29" s="616"/>
      <c r="E29" s="616">
        <v>80</v>
      </c>
    </row>
    <row r="30" spans="1:5" ht="15.75" customHeight="1">
      <c r="A30" s="338">
        <v>56111</v>
      </c>
      <c r="B30" s="338" t="s">
        <v>1477</v>
      </c>
      <c r="C30" s="616">
        <v>266290</v>
      </c>
      <c r="D30" s="616"/>
      <c r="E30" s="616">
        <v>266</v>
      </c>
    </row>
    <row r="31" spans="1:5" ht="15.75" customHeight="1">
      <c r="A31" s="338">
        <v>56211</v>
      </c>
      <c r="B31" s="338" t="s">
        <v>1400</v>
      </c>
      <c r="C31" s="616">
        <v>202000</v>
      </c>
      <c r="D31" s="616"/>
      <c r="E31" s="616">
        <v>202</v>
      </c>
    </row>
    <row r="32" spans="1:5" ht="15.75" customHeight="1">
      <c r="A32" s="338">
        <v>56213</v>
      </c>
      <c r="B32" s="338" t="s">
        <v>1401</v>
      </c>
      <c r="C32" s="616">
        <v>370000</v>
      </c>
      <c r="D32" s="616"/>
      <c r="E32" s="616">
        <v>370</v>
      </c>
    </row>
    <row r="33" spans="1:5" ht="15.75" customHeight="1">
      <c r="A33" s="338">
        <v>57211</v>
      </c>
      <c r="B33" s="338" t="s">
        <v>1069</v>
      </c>
      <c r="C33" s="616">
        <f>C15*1.19*(0.16+0.1)</f>
        <v>270725</v>
      </c>
      <c r="D33" s="616"/>
      <c r="E33" s="616">
        <v>271</v>
      </c>
    </row>
    <row r="34" spans="1:5" ht="15.75" customHeight="1">
      <c r="A34" s="338">
        <v>57213</v>
      </c>
      <c r="B34" s="338" t="s">
        <v>1181</v>
      </c>
      <c r="C34" s="616">
        <v>289000</v>
      </c>
      <c r="D34" s="616"/>
      <c r="E34" s="616">
        <f>+'rehabilitációs hj '!E18</f>
        <v>289</v>
      </c>
    </row>
    <row r="35" spans="1:5" s="97" customFormat="1" ht="15.75" customHeight="1">
      <c r="A35" s="99"/>
      <c r="B35" s="99" t="s">
        <v>1478</v>
      </c>
      <c r="C35" s="100">
        <f>SUM(C22:C34)</f>
        <v>2055015</v>
      </c>
      <c r="D35" s="100"/>
      <c r="E35" s="100">
        <f>SUM(E22:E34)</f>
        <v>2055</v>
      </c>
    </row>
    <row r="36" spans="1:5" s="97" customFormat="1" ht="15.75" customHeight="1">
      <c r="A36" s="99"/>
      <c r="B36" s="99"/>
      <c r="C36" s="99"/>
      <c r="D36" s="100"/>
      <c r="E36" s="100"/>
    </row>
    <row r="37" spans="1:5" s="97" customFormat="1" ht="15.75" customHeight="1">
      <c r="A37" s="99"/>
      <c r="B37" s="99" t="s">
        <v>1479</v>
      </c>
      <c r="C37" s="100">
        <f>C17+C20+C35</f>
        <v>19202790.2</v>
      </c>
      <c r="D37" s="100"/>
      <c r="E37" s="100">
        <f>E17+E20+E35</f>
        <v>19203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5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1:H57"/>
  <sheetViews>
    <sheetView view="pageBreakPreview" zoomScaleNormal="85" zoomScaleSheetLayoutView="100" zoomScalePageLayoutView="0" workbookViewId="0" topLeftCell="A25">
      <selection activeCell="D59" sqref="D59"/>
    </sheetView>
  </sheetViews>
  <sheetFormatPr defaultColWidth="9.140625" defaultRowHeight="12.75"/>
  <cols>
    <col min="1" max="1" width="13.57421875" style="98" bestFit="1" customWidth="1"/>
    <col min="2" max="2" width="60.57421875" style="98" customWidth="1"/>
    <col min="3" max="3" width="14.57421875" style="98" customWidth="1"/>
    <col min="4" max="4" width="15.421875" style="98" customWidth="1"/>
    <col min="5" max="5" width="19.00390625" style="98" customWidth="1"/>
    <col min="6" max="6" width="12.7109375" style="0" bestFit="1" customWidth="1"/>
    <col min="7" max="7" width="13.140625" style="0" customWidth="1"/>
    <col min="8" max="8" width="11.8515625" style="0" bestFit="1" customWidth="1"/>
    <col min="9" max="9" width="11.28125" style="0" bestFit="1" customWidth="1"/>
  </cols>
  <sheetData>
    <row r="1" ht="36" customHeight="1">
      <c r="B1" s="45" t="s">
        <v>452</v>
      </c>
    </row>
    <row r="2" spans="1:5" ht="73.5" customHeight="1">
      <c r="A2" s="2523" t="s">
        <v>1040</v>
      </c>
      <c r="B2" s="2524"/>
      <c r="C2" s="2524"/>
      <c r="D2" s="2524"/>
      <c r="E2" s="2524"/>
    </row>
    <row r="4" spans="1:5" ht="15">
      <c r="A4" s="2515" t="s">
        <v>1374</v>
      </c>
      <c r="B4" s="2515"/>
      <c r="C4" s="2515"/>
      <c r="D4" s="2515"/>
      <c r="E4" s="2515"/>
    </row>
    <row r="7" spans="1:5" ht="15">
      <c r="A7" s="2488" t="s">
        <v>1411</v>
      </c>
      <c r="B7" s="2488"/>
      <c r="C7" s="2488"/>
      <c r="D7" s="2488"/>
      <c r="E7" s="2488"/>
    </row>
    <row r="8" spans="1:5" ht="15.75">
      <c r="A8" s="30"/>
      <c r="B8" s="30"/>
      <c r="C8" s="30"/>
      <c r="D8" s="30"/>
      <c r="E8" s="335"/>
    </row>
    <row r="9" spans="1:5" ht="15">
      <c r="A9" s="106">
        <v>92211</v>
      </c>
      <c r="B9" s="106" t="s">
        <v>1530</v>
      </c>
      <c r="C9" s="107"/>
      <c r="D9" s="107"/>
      <c r="E9" s="290">
        <v>20200</v>
      </c>
    </row>
    <row r="10" spans="1:5" ht="15">
      <c r="A10" s="106">
        <v>92217</v>
      </c>
      <c r="B10" s="106" t="s">
        <v>2079</v>
      </c>
      <c r="C10" s="107"/>
      <c r="D10" s="107"/>
      <c r="E10" s="290">
        <v>72000</v>
      </c>
    </row>
    <row r="11" spans="1:5" s="90" customFormat="1" ht="15">
      <c r="A11" s="106">
        <v>922181</v>
      </c>
      <c r="B11" s="106" t="s">
        <v>2080</v>
      </c>
      <c r="C11" s="107"/>
      <c r="D11" s="107"/>
      <c r="E11" s="290">
        <v>1200</v>
      </c>
    </row>
    <row r="12" spans="1:5" s="90" customFormat="1" ht="15">
      <c r="A12" s="503">
        <v>922</v>
      </c>
      <c r="B12" s="587" t="s">
        <v>1766</v>
      </c>
      <c r="C12" s="595"/>
      <c r="D12" s="595"/>
      <c r="E12" s="1995">
        <f>SUM(E9:E11)</f>
        <v>93400</v>
      </c>
    </row>
    <row r="13" spans="1:5" ht="15">
      <c r="A13" s="106">
        <v>92311</v>
      </c>
      <c r="B13" s="106" t="s">
        <v>223</v>
      </c>
      <c r="C13" s="107">
        <v>31857520</v>
      </c>
      <c r="D13" s="107"/>
      <c r="E13" s="290">
        <f>ROUND(C13,-3)/1000</f>
        <v>31858</v>
      </c>
    </row>
    <row r="14" spans="1:6" ht="15">
      <c r="A14" s="106">
        <v>92312</v>
      </c>
      <c r="B14" s="106" t="s">
        <v>1533</v>
      </c>
      <c r="C14" s="107">
        <v>136795888</v>
      </c>
      <c r="D14" s="498"/>
      <c r="E14" s="290">
        <f>ROUND(C14,-3)/1000</f>
        <v>136796</v>
      </c>
      <c r="F14" s="7">
        <f>E13+E14</f>
        <v>168654</v>
      </c>
    </row>
    <row r="15" spans="1:5" ht="15">
      <c r="A15" s="106">
        <v>92314</v>
      </c>
      <c r="B15" s="106" t="s">
        <v>225</v>
      </c>
      <c r="C15" s="107"/>
      <c r="D15" s="107"/>
      <c r="E15" s="290">
        <v>32000</v>
      </c>
    </row>
    <row r="16" spans="1:5" ht="15">
      <c r="A16" s="503">
        <v>923</v>
      </c>
      <c r="B16" s="180" t="s">
        <v>646</v>
      </c>
      <c r="C16" s="503"/>
      <c r="D16" s="503"/>
      <c r="E16" s="1996">
        <f>+E13+E14+E15</f>
        <v>200654</v>
      </c>
    </row>
    <row r="17" spans="1:5" ht="15">
      <c r="A17" s="106">
        <v>92411</v>
      </c>
      <c r="B17" s="106" t="s">
        <v>224</v>
      </c>
      <c r="C17" s="107"/>
      <c r="D17" s="107"/>
      <c r="E17" s="290">
        <v>0</v>
      </c>
    </row>
    <row r="18" spans="1:5" ht="15">
      <c r="A18" s="503">
        <v>924</v>
      </c>
      <c r="B18" s="180" t="s">
        <v>647</v>
      </c>
      <c r="C18" s="503"/>
      <c r="D18" s="503"/>
      <c r="E18" s="1996">
        <f>+E17</f>
        <v>0</v>
      </c>
    </row>
    <row r="19" spans="1:5" ht="15">
      <c r="A19" s="549">
        <v>9251</v>
      </c>
      <c r="B19" s="550" t="s">
        <v>1266</v>
      </c>
      <c r="C19" s="497"/>
      <c r="D19" s="497"/>
      <c r="E19" s="657">
        <v>100</v>
      </c>
    </row>
    <row r="20" spans="1:5" ht="15">
      <c r="A20" s="503">
        <v>925</v>
      </c>
      <c r="B20" s="180" t="s">
        <v>1267</v>
      </c>
      <c r="C20" s="503"/>
      <c r="D20" s="503"/>
      <c r="E20" s="1996">
        <f>+E19</f>
        <v>100</v>
      </c>
    </row>
    <row r="21" spans="1:5" ht="15">
      <c r="A21" s="106">
        <v>9261</v>
      </c>
      <c r="B21" s="106" t="s">
        <v>1534</v>
      </c>
      <c r="C21" s="107"/>
      <c r="D21" s="107"/>
      <c r="E21" s="290">
        <v>1500</v>
      </c>
    </row>
    <row r="22" spans="1:5" ht="15">
      <c r="A22" s="503">
        <v>926</v>
      </c>
      <c r="B22" s="180" t="s">
        <v>1534</v>
      </c>
      <c r="C22" s="503"/>
      <c r="D22" s="503"/>
      <c r="E22" s="1996">
        <f>+E21</f>
        <v>1500</v>
      </c>
    </row>
    <row r="23" spans="1:8" ht="15">
      <c r="A23" s="106">
        <v>929111</v>
      </c>
      <c r="B23" s="106" t="s">
        <v>1149</v>
      </c>
      <c r="C23" s="107"/>
      <c r="D23" s="107"/>
      <c r="E23" s="290">
        <v>22692</v>
      </c>
      <c r="H23" s="7"/>
    </row>
    <row r="24" spans="1:5" s="90" customFormat="1" ht="15">
      <c r="A24" s="547">
        <v>929112</v>
      </c>
      <c r="B24" s="547" t="s">
        <v>1150</v>
      </c>
      <c r="C24" s="290"/>
      <c r="D24" s="290"/>
      <c r="E24" s="290">
        <v>1600</v>
      </c>
    </row>
    <row r="25" spans="1:5" s="90" customFormat="1" ht="15">
      <c r="A25" s="547">
        <v>929113</v>
      </c>
      <c r="B25" s="547" t="s">
        <v>1151</v>
      </c>
      <c r="C25" s="290"/>
      <c r="D25" s="290"/>
      <c r="E25" s="290">
        <v>3300</v>
      </c>
    </row>
    <row r="26" spans="1:6" ht="15">
      <c r="A26" s="106">
        <v>92912</v>
      </c>
      <c r="B26" s="106" t="s">
        <v>1152</v>
      </c>
      <c r="C26" s="107"/>
      <c r="D26" s="107"/>
      <c r="E26" s="290">
        <v>3833</v>
      </c>
      <c r="F26">
        <v>7100</v>
      </c>
    </row>
    <row r="27" spans="1:5" ht="15.75" thickBot="1">
      <c r="A27" s="590">
        <v>929</v>
      </c>
      <c r="B27" s="179" t="s">
        <v>1412</v>
      </c>
      <c r="C27" s="590"/>
      <c r="D27" s="590"/>
      <c r="E27" s="594">
        <f>+E23+E24+E25+E26</f>
        <v>31425</v>
      </c>
    </row>
    <row r="28" spans="1:5" ht="16.5" thickBot="1">
      <c r="A28" s="2525" t="s">
        <v>687</v>
      </c>
      <c r="B28" s="2526"/>
      <c r="C28" s="2526"/>
      <c r="D28" s="2526"/>
      <c r="E28" s="544">
        <f>+E12+E16+E18+E20+E22+E27</f>
        <v>327079</v>
      </c>
    </row>
    <row r="30" spans="1:5" ht="15">
      <c r="A30" s="2527" t="s">
        <v>688</v>
      </c>
      <c r="B30" s="2527"/>
      <c r="C30" s="2527"/>
      <c r="D30" s="2527"/>
      <c r="E30" s="2527"/>
    </row>
    <row r="31" spans="1:7" ht="15">
      <c r="A31" s="547">
        <v>94211</v>
      </c>
      <c r="B31" s="547" t="s">
        <v>1153</v>
      </c>
      <c r="C31" s="290">
        <v>22207374</v>
      </c>
      <c r="D31" s="290">
        <v>22207374</v>
      </c>
      <c r="E31" s="290">
        <f>ROUND(C31,-3)/1000</f>
        <v>22207</v>
      </c>
      <c r="F31" s="7"/>
      <c r="G31" s="290">
        <f>ROUND(D31,-3)/1000</f>
        <v>22207</v>
      </c>
    </row>
    <row r="32" spans="1:7" ht="15">
      <c r="A32" s="547">
        <v>94212</v>
      </c>
      <c r="B32" s="547" t="s">
        <v>1156</v>
      </c>
      <c r="C32" s="290">
        <f>F49</f>
        <v>271736448</v>
      </c>
      <c r="D32" s="290">
        <f>C32-1598632-1837960+626667-783333-494100</f>
        <v>267649090</v>
      </c>
      <c r="E32" s="290">
        <f>ROUND(C32,-3)/1000</f>
        <v>271736</v>
      </c>
      <c r="F32" s="7">
        <f>+E31+E32</f>
        <v>293943</v>
      </c>
      <c r="G32" s="290">
        <f>ROUND(D32,-3)/1000</f>
        <v>267649</v>
      </c>
    </row>
    <row r="33" spans="1:5" ht="15.75">
      <c r="A33" s="547">
        <v>9421</v>
      </c>
      <c r="B33" s="547" t="s">
        <v>120</v>
      </c>
      <c r="C33" s="290"/>
      <c r="D33" s="940">
        <f>SUM(D31:D32)</f>
        <v>289856464</v>
      </c>
      <c r="E33" s="290">
        <f>SUM(E31:E32)</f>
        <v>293943</v>
      </c>
    </row>
    <row r="34" spans="1:5" ht="15">
      <c r="A34" s="1997">
        <v>942</v>
      </c>
      <c r="B34" s="1998" t="s">
        <v>648</v>
      </c>
      <c r="C34" s="1997"/>
      <c r="D34" s="1997"/>
      <c r="E34" s="1996">
        <f>+E33</f>
        <v>293943</v>
      </c>
    </row>
    <row r="35" spans="1:5" ht="15">
      <c r="A35" s="547">
        <v>943111</v>
      </c>
      <c r="B35" s="547" t="s">
        <v>2081</v>
      </c>
      <c r="C35" s="290">
        <v>541800</v>
      </c>
      <c r="D35" s="290">
        <f>C35</f>
        <v>541800</v>
      </c>
      <c r="E35" s="290">
        <f aca="true" t="shared" si="0" ref="E35:E40">+ROUND(C35,-3)/1000</f>
        <v>542</v>
      </c>
    </row>
    <row r="36" spans="1:5" s="9" customFormat="1" ht="15">
      <c r="A36" s="1009">
        <v>943112</v>
      </c>
      <c r="B36" s="662" t="s">
        <v>82</v>
      </c>
      <c r="C36" s="657">
        <v>8800000</v>
      </c>
      <c r="D36" s="290">
        <f>C36</f>
        <v>8800000</v>
      </c>
      <c r="E36" s="290">
        <f t="shared" si="0"/>
        <v>8800</v>
      </c>
    </row>
    <row r="37" spans="1:5" s="24" customFormat="1" ht="15">
      <c r="A37" s="1009">
        <v>943113</v>
      </c>
      <c r="B37" s="1999" t="s">
        <v>10</v>
      </c>
      <c r="C37" s="657">
        <v>884000</v>
      </c>
      <c r="D37" s="290">
        <f>C37+34667</f>
        <v>918667</v>
      </c>
      <c r="E37" s="290">
        <f t="shared" si="0"/>
        <v>884</v>
      </c>
    </row>
    <row r="38" spans="1:5" s="24" customFormat="1" ht="15">
      <c r="A38" s="1009">
        <v>943116</v>
      </c>
      <c r="B38" s="1999" t="s">
        <v>79</v>
      </c>
      <c r="C38" s="657">
        <v>27744000</v>
      </c>
      <c r="D38" s="290">
        <f>C38</f>
        <v>27744000</v>
      </c>
      <c r="E38" s="290">
        <f t="shared" si="0"/>
        <v>27744</v>
      </c>
    </row>
    <row r="39" spans="1:5" s="24" customFormat="1" ht="15">
      <c r="A39" s="1009">
        <v>943117</v>
      </c>
      <c r="B39" s="1999" t="s">
        <v>81</v>
      </c>
      <c r="C39" s="657">
        <v>4152000</v>
      </c>
      <c r="D39" s="290">
        <f>C39</f>
        <v>4152000</v>
      </c>
      <c r="E39" s="290">
        <f t="shared" si="0"/>
        <v>4152</v>
      </c>
    </row>
    <row r="40" spans="1:5" s="24" customFormat="1" ht="15">
      <c r="A40" s="1009">
        <v>943118</v>
      </c>
      <c r="B40" s="1999" t="s">
        <v>80</v>
      </c>
      <c r="C40" s="657">
        <v>911750</v>
      </c>
      <c r="D40" s="290">
        <f>C40-4083</f>
        <v>907667</v>
      </c>
      <c r="E40" s="290">
        <f t="shared" si="0"/>
        <v>912</v>
      </c>
    </row>
    <row r="41" spans="1:5" s="24" customFormat="1" ht="15.75">
      <c r="A41" s="1009">
        <v>94311</v>
      </c>
      <c r="B41" s="2000" t="s">
        <v>1127</v>
      </c>
      <c r="C41" s="1599">
        <f>SUM(C35:C40)</f>
        <v>43033550</v>
      </c>
      <c r="D41" s="940">
        <f>SUM(D35:D40)</f>
        <v>43064134</v>
      </c>
      <c r="E41" s="940">
        <f>ROUND(C41,-3)/1000</f>
        <v>43034</v>
      </c>
    </row>
    <row r="42" spans="1:6" s="9" customFormat="1" ht="15">
      <c r="A42" s="549">
        <v>9431212</v>
      </c>
      <c r="B42" s="550" t="s">
        <v>1157</v>
      </c>
      <c r="C42" s="548">
        <v>11664000</v>
      </c>
      <c r="D42" s="107">
        <v>6006772</v>
      </c>
      <c r="E42" s="592">
        <f>'882111-Munkanélküli ellátások'!D25*0.9/1000</f>
        <v>11664</v>
      </c>
      <c r="F42" s="10">
        <f>C42-D42</f>
        <v>5657228</v>
      </c>
    </row>
    <row r="43" spans="1:6" s="9" customFormat="1" ht="15">
      <c r="A43" s="549">
        <v>9431213</v>
      </c>
      <c r="B43" s="550" t="s">
        <v>1158</v>
      </c>
      <c r="C43" s="548">
        <v>2708640</v>
      </c>
      <c r="D43" s="107">
        <v>1328549</v>
      </c>
      <c r="E43" s="592">
        <f>'-Rendsz.szoc.pénz.ell.'!E22*0.9</f>
        <v>2709</v>
      </c>
      <c r="F43" s="10">
        <f aca="true" t="shared" si="1" ref="F43:F48">C43-D43</f>
        <v>1380091</v>
      </c>
    </row>
    <row r="44" spans="1:6" s="9" customFormat="1" ht="15">
      <c r="A44" s="549">
        <v>9431214</v>
      </c>
      <c r="B44" s="550" t="s">
        <v>1159</v>
      </c>
      <c r="C44" s="548">
        <v>5800000</v>
      </c>
      <c r="D44" s="107">
        <v>0</v>
      </c>
      <c r="E44" s="592">
        <v>5800</v>
      </c>
      <c r="F44" s="10">
        <f t="shared" si="1"/>
        <v>5800000</v>
      </c>
    </row>
    <row r="45" spans="1:6" s="9" customFormat="1" ht="15">
      <c r="A45" s="549">
        <v>9431215</v>
      </c>
      <c r="B45" s="550" t="s">
        <v>1160</v>
      </c>
      <c r="C45" s="548">
        <v>35100000</v>
      </c>
      <c r="D45" s="107">
        <v>12804480</v>
      </c>
      <c r="E45" s="592">
        <f>'-Rendsz.szoc.pénz.ell.'!E24*0.9</f>
        <v>35100</v>
      </c>
      <c r="F45" s="10">
        <f t="shared" si="1"/>
        <v>22295520</v>
      </c>
    </row>
    <row r="46" spans="1:6" s="9" customFormat="1" ht="15">
      <c r="A46" s="549">
        <v>9431216</v>
      </c>
      <c r="B46" s="550" t="s">
        <v>1065</v>
      </c>
      <c r="C46" s="548">
        <v>20082420</v>
      </c>
      <c r="D46" s="107">
        <v>14695291</v>
      </c>
      <c r="E46" s="592">
        <f>('-Rendsz.szoc.pénz.ell.'!E29+'-Rendsz.szoc.pénz.ell.'!E31+'-Rendsz.szoc.pénz.ell.'!E39)*0.75</f>
        <v>16195.5</v>
      </c>
      <c r="F46" s="10">
        <f t="shared" si="1"/>
        <v>5387129</v>
      </c>
    </row>
    <row r="47" spans="1:6" s="9" customFormat="1" ht="15">
      <c r="A47" s="549">
        <v>9431217</v>
      </c>
      <c r="B47" s="550" t="s">
        <v>998</v>
      </c>
      <c r="C47" s="548">
        <v>80986000</v>
      </c>
      <c r="D47" s="107">
        <v>64305340</v>
      </c>
      <c r="E47" s="592">
        <f>'882111-Munkanélküli ellátások'!E27*0.8</f>
        <v>80985.6</v>
      </c>
      <c r="F47" s="10">
        <f t="shared" si="1"/>
        <v>16680660</v>
      </c>
    </row>
    <row r="48" spans="1:6" s="9" customFormat="1" ht="15">
      <c r="A48" s="549">
        <v>943121</v>
      </c>
      <c r="B48" s="550" t="s">
        <v>1880</v>
      </c>
      <c r="C48" s="548">
        <v>300000</v>
      </c>
      <c r="D48" s="107">
        <v>290000</v>
      </c>
      <c r="E48" s="592">
        <f>+'882119 - Óvodáztatási támogatás'!E6</f>
        <v>300</v>
      </c>
      <c r="F48" s="10">
        <f t="shared" si="1"/>
        <v>10000</v>
      </c>
    </row>
    <row r="49" spans="1:6" ht="15">
      <c r="A49" s="106">
        <v>943123</v>
      </c>
      <c r="B49" s="106" t="s">
        <v>1960</v>
      </c>
      <c r="C49" s="106"/>
      <c r="D49" s="107"/>
      <c r="E49" s="592">
        <v>0</v>
      </c>
      <c r="F49" s="7">
        <f>24063120+67895487+9411200+18268800+20210000+10183333+80918335+15980000+5640000+4076800+5845333+5435100+3808940</f>
        <v>271736448</v>
      </c>
    </row>
    <row r="50" spans="1:6" ht="15.75">
      <c r="A50" s="106">
        <v>9431</v>
      </c>
      <c r="B50" s="37" t="s">
        <v>121</v>
      </c>
      <c r="C50" s="107">
        <f>SUM(C42:C49)</f>
        <v>156641060</v>
      </c>
      <c r="D50" s="182">
        <f>SUM(D42:D49)</f>
        <v>99430432</v>
      </c>
      <c r="E50" s="592">
        <f>ROUND(C50,-3)/1000</f>
        <v>156641</v>
      </c>
      <c r="F50" s="7">
        <f>C50-D50</f>
        <v>57210628</v>
      </c>
    </row>
    <row r="51" spans="1:5" ht="15">
      <c r="A51" s="106"/>
      <c r="B51" s="504" t="s">
        <v>590</v>
      </c>
      <c r="C51" s="548">
        <v>22960</v>
      </c>
      <c r="D51" s="107">
        <v>22960</v>
      </c>
      <c r="E51" s="592">
        <f>ROUND(C51,-3)/1000</f>
        <v>23</v>
      </c>
    </row>
    <row r="52" spans="1:5" ht="15">
      <c r="A52" s="106"/>
      <c r="B52" s="504" t="s">
        <v>592</v>
      </c>
      <c r="C52" s="548">
        <v>68000</v>
      </c>
      <c r="D52" s="107">
        <v>68000</v>
      </c>
      <c r="E52" s="592">
        <f>ROUND(C52,-3)/1000</f>
        <v>68</v>
      </c>
    </row>
    <row r="53" spans="1:5" ht="15.75">
      <c r="A53" s="106">
        <v>943121</v>
      </c>
      <c r="B53" s="37" t="s">
        <v>1128</v>
      </c>
      <c r="C53" s="182">
        <f>SUM(C51:C52)</f>
        <v>90960</v>
      </c>
      <c r="D53" s="182">
        <f>SUM(D51:D52)</f>
        <v>90960</v>
      </c>
      <c r="E53" s="592">
        <f>ROUND(C53,-3)/1000</f>
        <v>91</v>
      </c>
    </row>
    <row r="54" spans="1:6" ht="15">
      <c r="A54" s="503">
        <v>943</v>
      </c>
      <c r="B54" s="180" t="s">
        <v>649</v>
      </c>
      <c r="C54" s="1030">
        <f>C41+C50+C53</f>
        <v>199765570</v>
      </c>
      <c r="D54" s="1030">
        <f>D41+D50+D53</f>
        <v>142585526</v>
      </c>
      <c r="E54" s="592">
        <f>ROUND(C54,-3)/1000</f>
        <v>199766</v>
      </c>
      <c r="F54" s="7">
        <f>C13+C14+C31+C32+C41+C53</f>
        <v>505721740</v>
      </c>
    </row>
    <row r="55" spans="1:6" s="9" customFormat="1" ht="15">
      <c r="A55" s="503">
        <v>944</v>
      </c>
      <c r="B55" s="180" t="s">
        <v>650</v>
      </c>
      <c r="C55" s="503"/>
      <c r="D55" s="503"/>
      <c r="E55" s="552">
        <v>0</v>
      </c>
      <c r="F55" s="10"/>
    </row>
    <row r="56" spans="1:5" ht="15.75">
      <c r="A56" s="2495" t="s">
        <v>204</v>
      </c>
      <c r="B56" s="2495"/>
      <c r="C56" s="2495"/>
      <c r="D56" s="2495"/>
      <c r="E56" s="73">
        <f>+E34+E54+E55</f>
        <v>493709</v>
      </c>
    </row>
    <row r="57" spans="1:5" ht="15.75">
      <c r="A57" s="2493" t="s">
        <v>1376</v>
      </c>
      <c r="B57" s="2493"/>
      <c r="C57" s="2493"/>
      <c r="D57" s="2493"/>
      <c r="E57" s="79">
        <f>+E28+E56</f>
        <v>820788</v>
      </c>
    </row>
  </sheetData>
  <sheetProtection/>
  <mergeCells count="7">
    <mergeCell ref="A2:E2"/>
    <mergeCell ref="A4:E4"/>
    <mergeCell ref="A57:D57"/>
    <mergeCell ref="A7:E7"/>
    <mergeCell ref="A28:D28"/>
    <mergeCell ref="A30:E30"/>
    <mergeCell ref="A56:D56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28" max="8" man="1"/>
  </rowBreaks>
  <colBreaks count="1" manualBreakCount="1">
    <brk id="8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C00000"/>
  </sheetPr>
  <dimension ref="A1:F32"/>
  <sheetViews>
    <sheetView zoomScalePageLayoutView="0" workbookViewId="0" topLeftCell="A16">
      <selection activeCell="F30" sqref="F30"/>
    </sheetView>
  </sheetViews>
  <sheetFormatPr defaultColWidth="9.140625" defaultRowHeight="12.75"/>
  <cols>
    <col min="1" max="1" width="14.00390625" style="0" customWidth="1"/>
    <col min="2" max="2" width="51.57421875" style="0" customWidth="1"/>
    <col min="3" max="4" width="10.7109375" style="0" customWidth="1"/>
    <col min="5" max="5" width="10.57421875" style="401" customWidth="1"/>
  </cols>
  <sheetData>
    <row r="1" spans="1:5" ht="18">
      <c r="A1" s="2528" t="s">
        <v>9</v>
      </c>
      <c r="B1" s="2528"/>
      <c r="C1" s="2528"/>
      <c r="D1" s="2528"/>
      <c r="E1" s="2528"/>
    </row>
    <row r="2" spans="1:5" ht="18" customHeight="1">
      <c r="A2" s="2455" t="s">
        <v>1067</v>
      </c>
      <c r="B2" s="2455"/>
      <c r="C2" s="2455"/>
      <c r="D2" s="2455"/>
      <c r="E2" s="2455"/>
    </row>
    <row r="4" spans="1:5" ht="15">
      <c r="A4" s="2513" t="s">
        <v>1373</v>
      </c>
      <c r="B4" s="2513"/>
      <c r="C4" s="2513"/>
      <c r="D4" s="2513"/>
      <c r="E4" s="2513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2469" t="s">
        <v>83</v>
      </c>
      <c r="B6" s="2469"/>
      <c r="C6" s="2469"/>
      <c r="D6" s="2469"/>
      <c r="E6" s="2469"/>
    </row>
    <row r="7" spans="1:5" ht="15">
      <c r="A7" s="104"/>
      <c r="B7" s="98"/>
      <c r="C7" s="105"/>
      <c r="D7" s="105"/>
      <c r="E7" s="105" t="s">
        <v>86</v>
      </c>
    </row>
    <row r="8" spans="1:5" ht="15">
      <c r="A8" s="104"/>
      <c r="B8" s="98"/>
      <c r="C8" s="105"/>
      <c r="D8" s="105"/>
      <c r="E8" s="105"/>
    </row>
    <row r="9" spans="1:5" ht="12.75">
      <c r="A9" s="13" t="s">
        <v>163</v>
      </c>
      <c r="B9" s="13" t="s">
        <v>1432</v>
      </c>
      <c r="C9" s="14"/>
      <c r="D9" s="14"/>
      <c r="E9" s="14"/>
    </row>
    <row r="10" spans="1:5" ht="12.75">
      <c r="A10" s="532">
        <v>511111</v>
      </c>
      <c r="B10" s="13" t="s">
        <v>87</v>
      </c>
      <c r="C10" s="14">
        <f>+Bérek2012!Q5+Bérek2012!Q12+Bérek2012!Q18</f>
        <v>5261100</v>
      </c>
      <c r="D10" s="14"/>
      <c r="E10" s="14">
        <f>+ROUND(C10,-3)/1000</f>
        <v>5261</v>
      </c>
    </row>
    <row r="11" spans="1:5" ht="12.75">
      <c r="A11" s="642">
        <v>511</v>
      </c>
      <c r="B11" s="571" t="s">
        <v>166</v>
      </c>
      <c r="C11" s="513"/>
      <c r="D11" s="513"/>
      <c r="E11" s="712">
        <f>+E10</f>
        <v>5261</v>
      </c>
    </row>
    <row r="12" spans="1:5" ht="12.75">
      <c r="A12" s="532">
        <v>512191</v>
      </c>
      <c r="B12" s="567" t="s">
        <v>1066</v>
      </c>
      <c r="C12" s="530"/>
      <c r="D12" s="530"/>
      <c r="E12" s="532">
        <f>ROUND(C12,-3)/1000</f>
        <v>0</v>
      </c>
    </row>
    <row r="13" spans="1:6" ht="12.75">
      <c r="A13" s="642">
        <v>512</v>
      </c>
      <c r="B13" s="713" t="s">
        <v>637</v>
      </c>
      <c r="C13" s="513"/>
      <c r="D13" s="513"/>
      <c r="E13" s="513">
        <f>+E12</f>
        <v>0</v>
      </c>
      <c r="F13" s="20"/>
    </row>
    <row r="14" spans="1:6" ht="12.75">
      <c r="A14" s="532">
        <v>513121</v>
      </c>
      <c r="B14" s="13" t="s">
        <v>1059</v>
      </c>
      <c r="C14" s="14"/>
      <c r="D14" s="14"/>
      <c r="E14" s="14">
        <f>ROUND(C14,-3)/1000</f>
        <v>0</v>
      </c>
      <c r="F14" s="20"/>
    </row>
    <row r="15" spans="1:6" ht="12.75">
      <c r="A15" s="532">
        <v>513131</v>
      </c>
      <c r="B15" s="13" t="s">
        <v>92</v>
      </c>
      <c r="C15" s="14"/>
      <c r="D15" s="14"/>
      <c r="E15" s="17">
        <v>3</v>
      </c>
      <c r="F15" s="20"/>
    </row>
    <row r="16" spans="1:5" ht="12.75">
      <c r="A16" s="642">
        <v>513</v>
      </c>
      <c r="B16" s="571" t="s">
        <v>139</v>
      </c>
      <c r="C16" s="513"/>
      <c r="D16" s="513"/>
      <c r="E16" s="513">
        <f>+E14+E15</f>
        <v>3</v>
      </c>
    </row>
    <row r="17" spans="1:5" ht="12.75">
      <c r="A17" s="532">
        <v>514141</v>
      </c>
      <c r="B17" s="13" t="s">
        <v>97</v>
      </c>
      <c r="C17" s="14">
        <f>+Bérek2012!Z5+Bérek2012!Z12+Bérek2012!Z18</f>
        <v>450000</v>
      </c>
      <c r="D17" s="14"/>
      <c r="E17" s="14">
        <f>ROUND(C17,-3)/1000</f>
        <v>450</v>
      </c>
    </row>
    <row r="18" spans="1:5" ht="12.75">
      <c r="A18" s="532">
        <v>514191</v>
      </c>
      <c r="B18" s="13" t="s">
        <v>1161</v>
      </c>
      <c r="C18" s="14"/>
      <c r="D18" s="14"/>
      <c r="E18" s="14">
        <v>0</v>
      </c>
    </row>
    <row r="19" spans="1:5" ht="13.5" thickBot="1">
      <c r="A19" s="642">
        <v>514</v>
      </c>
      <c r="B19" s="643" t="s">
        <v>140</v>
      </c>
      <c r="C19" s="513"/>
      <c r="D19" s="513"/>
      <c r="E19" s="513">
        <f>SUM(E17:E18)</f>
        <v>450</v>
      </c>
    </row>
    <row r="20" spans="1:5" ht="16.5" thickBot="1">
      <c r="A20" s="2502" t="s">
        <v>169</v>
      </c>
      <c r="B20" s="2503"/>
      <c r="C20" s="2503"/>
      <c r="D20" s="593"/>
      <c r="E20" s="509">
        <f>+E11+E13+E16+E19</f>
        <v>5714</v>
      </c>
    </row>
    <row r="21" spans="1:5" s="22" customFormat="1" ht="15.75">
      <c r="A21" s="80"/>
      <c r="B21" s="80"/>
      <c r="C21" s="80"/>
      <c r="D21" s="80"/>
      <c r="E21" s="407"/>
    </row>
    <row r="22" spans="1:5" ht="15">
      <c r="A22" s="2500" t="s">
        <v>170</v>
      </c>
      <c r="B22" s="2501"/>
      <c r="C22" s="2501"/>
      <c r="D22" s="2501"/>
      <c r="E22" s="2501"/>
    </row>
    <row r="23" spans="1:5" ht="13.5" thickBot="1">
      <c r="A23" s="517">
        <v>53112</v>
      </c>
      <c r="B23" s="517" t="s">
        <v>1068</v>
      </c>
      <c r="C23" s="533"/>
      <c r="D23" s="533"/>
      <c r="E23" s="518">
        <f>(E11+E13+E16)*0.27</f>
        <v>1421.2800000000002</v>
      </c>
    </row>
    <row r="24" spans="1:5" ht="16.5" thickBot="1">
      <c r="A24" s="2502" t="s">
        <v>1386</v>
      </c>
      <c r="B24" s="2503"/>
      <c r="C24" s="2503"/>
      <c r="D24" s="593"/>
      <c r="E24" s="509">
        <f>+E23</f>
        <v>1421.2800000000002</v>
      </c>
    </row>
    <row r="25" spans="1:5" s="22" customFormat="1" ht="15.75">
      <c r="A25" s="80"/>
      <c r="B25" s="80"/>
      <c r="C25" s="80"/>
      <c r="D25" s="80"/>
      <c r="E25" s="407"/>
    </row>
    <row r="26" spans="1:5" ht="12.75">
      <c r="A26" s="2469" t="s">
        <v>172</v>
      </c>
      <c r="B26" s="2469"/>
      <c r="C26" s="2469"/>
      <c r="D26" s="2469"/>
      <c r="E26" s="2469"/>
    </row>
    <row r="27" spans="1:5" ht="12.75">
      <c r="A27" s="11">
        <v>56211</v>
      </c>
      <c r="B27" s="11" t="s">
        <v>1400</v>
      </c>
      <c r="C27" s="11"/>
      <c r="D27" s="11"/>
      <c r="E27" s="534">
        <v>10</v>
      </c>
    </row>
    <row r="28" spans="1:5" ht="12.75">
      <c r="A28" s="11">
        <v>57211</v>
      </c>
      <c r="B28" s="11" t="s">
        <v>1069</v>
      </c>
      <c r="C28" s="14"/>
      <c r="D28" s="14"/>
      <c r="E28" s="534">
        <f>+E17*1.19*0.26</f>
        <v>139.23000000000002</v>
      </c>
    </row>
    <row r="29" spans="1:5" ht="13.5" thickBot="1">
      <c r="A29" s="517">
        <v>57213</v>
      </c>
      <c r="B29" s="517" t="s">
        <v>1181</v>
      </c>
      <c r="C29" s="518"/>
      <c r="D29" s="518"/>
      <c r="E29" s="535"/>
    </row>
    <row r="30" spans="1:5" ht="16.5" thickBot="1">
      <c r="A30" s="2502" t="s">
        <v>1372</v>
      </c>
      <c r="B30" s="2503"/>
      <c r="C30" s="2503"/>
      <c r="D30" s="593"/>
      <c r="E30" s="536">
        <f>SUM(E27:E29)</f>
        <v>149.23000000000002</v>
      </c>
    </row>
    <row r="31" spans="1:5" ht="15.75">
      <c r="A31" s="80"/>
      <c r="B31" s="80"/>
      <c r="C31" s="80"/>
      <c r="D31" s="80"/>
      <c r="E31" s="408"/>
    </row>
    <row r="32" spans="1:5" ht="15.75">
      <c r="A32" s="2493" t="s">
        <v>1375</v>
      </c>
      <c r="B32" s="2493"/>
      <c r="C32" s="2493"/>
      <c r="D32" s="341"/>
      <c r="E32" s="400">
        <f>+E30+E24+E20</f>
        <v>7284.51</v>
      </c>
    </row>
  </sheetData>
  <sheetProtection/>
  <mergeCells count="11">
    <mergeCell ref="A6:E6"/>
    <mergeCell ref="A1:E1"/>
    <mergeCell ref="A2:E2"/>
    <mergeCell ref="A4:E4"/>
    <mergeCell ref="A5:E5"/>
    <mergeCell ref="A32:C32"/>
    <mergeCell ref="A26:E26"/>
    <mergeCell ref="A20:C20"/>
    <mergeCell ref="A22:E22"/>
    <mergeCell ref="A24:C24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C00000"/>
  </sheetPr>
  <dimension ref="A1:E3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9.57421875" style="0" customWidth="1"/>
    <col min="2" max="2" width="43.57421875" style="0" customWidth="1"/>
    <col min="3" max="3" width="10.28125" style="0" customWidth="1"/>
    <col min="4" max="4" width="12.421875" style="0" customWidth="1"/>
  </cols>
  <sheetData>
    <row r="1" spans="2:4" ht="12.75">
      <c r="B1" s="2514" t="s">
        <v>1</v>
      </c>
      <c r="C1" s="2454"/>
      <c r="D1" s="2454"/>
    </row>
    <row r="2" spans="2:4" ht="21.75" customHeight="1">
      <c r="B2" s="2529" t="s">
        <v>1978</v>
      </c>
      <c r="C2" s="2529"/>
      <c r="D2" s="2529"/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2469" t="s">
        <v>83</v>
      </c>
      <c r="B6" s="2469"/>
      <c r="C6" s="2469"/>
      <c r="D6" s="2469"/>
      <c r="E6" s="2469"/>
    </row>
    <row r="7" spans="1:5" ht="12.75">
      <c r="A7" s="2469" t="s">
        <v>84</v>
      </c>
      <c r="B7" s="2469"/>
      <c r="C7" s="2469"/>
      <c r="D7" s="2469"/>
      <c r="E7" s="2469"/>
    </row>
    <row r="8" spans="1:5" ht="12.75">
      <c r="A8" s="42"/>
      <c r="C8" s="7"/>
      <c r="D8" s="323" t="s">
        <v>85</v>
      </c>
      <c r="E8" s="323" t="s">
        <v>86</v>
      </c>
    </row>
    <row r="9" spans="1:5" ht="12.75">
      <c r="A9" s="42"/>
      <c r="C9" s="7"/>
      <c r="D9" s="7"/>
      <c r="E9" s="7"/>
    </row>
    <row r="10" spans="1:5" ht="12.75">
      <c r="A10" s="24"/>
      <c r="B10" s="12"/>
      <c r="C10" s="33"/>
      <c r="D10" s="24"/>
      <c r="E10" s="24"/>
    </row>
    <row r="11" spans="1:5" ht="12.75">
      <c r="A11" s="66"/>
      <c r="B11" s="308"/>
      <c r="C11" s="309"/>
      <c r="D11" s="309"/>
      <c r="E11" s="57"/>
    </row>
    <row r="12" spans="1:5" ht="15.75">
      <c r="A12" s="2490" t="s">
        <v>169</v>
      </c>
      <c r="B12" s="2490"/>
      <c r="C12" s="2490"/>
      <c r="D12" s="2490"/>
      <c r="E12" s="505">
        <f>+E11</f>
        <v>0</v>
      </c>
    </row>
    <row r="13" spans="1:5" ht="15.75">
      <c r="A13" s="99"/>
      <c r="B13" s="37"/>
      <c r="C13" s="5"/>
      <c r="D13" s="44"/>
      <c r="E13" s="35"/>
    </row>
    <row r="14" spans="1:5" ht="15.75">
      <c r="A14" s="2490" t="s">
        <v>1386</v>
      </c>
      <c r="B14" s="2490"/>
      <c r="C14" s="2490"/>
      <c r="D14" s="2490"/>
      <c r="E14" s="505">
        <f>+E13</f>
        <v>0</v>
      </c>
    </row>
    <row r="15" spans="1:5" ht="12.75">
      <c r="A15" s="735">
        <v>55228</v>
      </c>
      <c r="B15" s="733" t="s">
        <v>1979</v>
      </c>
      <c r="C15" s="733"/>
      <c r="D15" s="733"/>
      <c r="E15" s="734"/>
    </row>
    <row r="16" spans="1:5" ht="12.75">
      <c r="A16" s="735">
        <v>55229</v>
      </c>
      <c r="B16" s="733" t="s">
        <v>657</v>
      </c>
      <c r="C16" s="736">
        <v>500000</v>
      </c>
      <c r="D16" s="733"/>
      <c r="E16" s="734">
        <f>+ROUND(C16,-3)/1000</f>
        <v>500</v>
      </c>
    </row>
    <row r="17" spans="1:5" ht="12.75">
      <c r="A17" s="735"/>
      <c r="B17" s="733" t="s">
        <v>1980</v>
      </c>
      <c r="C17" s="735"/>
      <c r="D17" s="733"/>
      <c r="E17" s="734">
        <f>+ROUND(C17,-3)/1000</f>
        <v>0</v>
      </c>
    </row>
    <row r="18" spans="1:5" ht="12.75">
      <c r="A18" s="735"/>
      <c r="B18" s="733" t="s">
        <v>1864</v>
      </c>
      <c r="C18" s="736">
        <v>426486</v>
      </c>
      <c r="D18" s="733"/>
      <c r="E18" s="734"/>
    </row>
    <row r="19" spans="1:5" ht="12.75">
      <c r="A19" s="532">
        <v>5611</v>
      </c>
      <c r="B19" s="567" t="s">
        <v>13</v>
      </c>
      <c r="C19" s="670">
        <f>+(C21+C16)*0.27</f>
        <v>394200</v>
      </c>
      <c r="D19" s="515"/>
      <c r="E19" s="734">
        <f>+ROUND(C19,-3)/1000</f>
        <v>394</v>
      </c>
    </row>
    <row r="20" spans="1:5" ht="12.75">
      <c r="A20" s="532">
        <v>5631</v>
      </c>
      <c r="B20" s="567" t="s">
        <v>1903</v>
      </c>
      <c r="C20" s="670"/>
      <c r="D20" s="515"/>
      <c r="E20" s="734">
        <f>+ROUND(C20,-3)/1000</f>
        <v>0</v>
      </c>
    </row>
    <row r="21" spans="1:5" ht="12.75">
      <c r="A21" s="532"/>
      <c r="B21" s="567" t="s">
        <v>1259</v>
      </c>
      <c r="C21" s="670">
        <f>80000*12</f>
        <v>960000</v>
      </c>
      <c r="D21" s="515"/>
      <c r="E21" s="734">
        <f>+ROUND(C21,-3)/1000</f>
        <v>960</v>
      </c>
    </row>
    <row r="22" spans="1:5" ht="15.75">
      <c r="A22" s="2490" t="s">
        <v>1372</v>
      </c>
      <c r="B22" s="2490"/>
      <c r="C22" s="2490"/>
      <c r="D22" s="2490"/>
      <c r="E22" s="665">
        <f>SUM(E19:E21)</f>
        <v>1354</v>
      </c>
    </row>
    <row r="23" spans="1:5" ht="15.75">
      <c r="A23" s="80"/>
      <c r="B23" s="80"/>
      <c r="C23" s="80"/>
      <c r="D23" s="80"/>
      <c r="E23" s="81"/>
    </row>
    <row r="24" spans="1:5" ht="12.75">
      <c r="A24" s="2469" t="s">
        <v>215</v>
      </c>
      <c r="B24" s="2469"/>
      <c r="C24" s="2469"/>
      <c r="D24" s="2469"/>
      <c r="E24" s="2469"/>
    </row>
    <row r="26" spans="1:5" ht="15.75">
      <c r="A26" s="2495" t="s">
        <v>1368</v>
      </c>
      <c r="B26" s="2495"/>
      <c r="C26" s="2495"/>
      <c r="D26" s="2495"/>
      <c r="E26" s="78"/>
    </row>
    <row r="28" spans="1:5" ht="12.75">
      <c r="A28" s="2469" t="s">
        <v>185</v>
      </c>
      <c r="B28" s="2469"/>
      <c r="C28" s="2469"/>
      <c r="D28" s="2469"/>
      <c r="E28" s="2469"/>
    </row>
    <row r="30" spans="1:5" ht="15.75">
      <c r="A30" s="2495" t="s">
        <v>186</v>
      </c>
      <c r="B30" s="2495"/>
      <c r="C30" s="2495"/>
      <c r="D30" s="2495"/>
      <c r="E30" s="78"/>
    </row>
    <row r="32" spans="1:5" ht="15.75">
      <c r="A32" s="2493" t="s">
        <v>1375</v>
      </c>
      <c r="B32" s="2493"/>
      <c r="C32" s="2493"/>
      <c r="D32" s="2493"/>
      <c r="E32" s="79">
        <f>+E30+E26+E22+E14+E12</f>
        <v>1354</v>
      </c>
    </row>
  </sheetData>
  <sheetProtection/>
  <mergeCells count="14">
    <mergeCell ref="A30:D30"/>
    <mergeCell ref="A32:D32"/>
    <mergeCell ref="A12:D12"/>
    <mergeCell ref="A14:D14"/>
    <mergeCell ref="A22:D22"/>
    <mergeCell ref="A24:E24"/>
    <mergeCell ref="A26:D26"/>
    <mergeCell ref="A28:E28"/>
    <mergeCell ref="A7:E7"/>
    <mergeCell ref="B1:D1"/>
    <mergeCell ref="B2:D2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2"/>
  </sheetPr>
  <dimension ref="A1:D39"/>
  <sheetViews>
    <sheetView zoomScalePageLayoutView="0" workbookViewId="0" topLeftCell="A19">
      <selection activeCell="C9" sqref="C9"/>
    </sheetView>
  </sheetViews>
  <sheetFormatPr defaultColWidth="9.140625" defaultRowHeight="12.75"/>
  <cols>
    <col min="1" max="1" width="9.57421875" style="0" customWidth="1"/>
    <col min="2" max="2" width="56.57421875" style="0" bestFit="1" customWidth="1"/>
    <col min="3" max="3" width="10.7109375" style="0" bestFit="1" customWidth="1"/>
    <col min="4" max="4" width="9.00390625" style="0" bestFit="1" customWidth="1"/>
  </cols>
  <sheetData>
    <row r="1" spans="1:4" ht="15.75">
      <c r="A1" s="98"/>
      <c r="B1" s="2530" t="s">
        <v>1</v>
      </c>
      <c r="C1" s="2530"/>
      <c r="D1" s="98"/>
    </row>
    <row r="2" spans="1:4" ht="15">
      <c r="A2" s="98"/>
      <c r="B2" s="2529" t="s">
        <v>468</v>
      </c>
      <c r="C2" s="2529"/>
      <c r="D2" s="98"/>
    </row>
    <row r="3" spans="1:4" ht="15">
      <c r="A3" s="98"/>
      <c r="B3" s="98"/>
      <c r="C3" s="98"/>
      <c r="D3" s="98"/>
    </row>
    <row r="4" spans="1:4" ht="15">
      <c r="A4" s="2515" t="s">
        <v>1373</v>
      </c>
      <c r="B4" s="2515"/>
      <c r="C4" s="2515"/>
      <c r="D4" s="2515"/>
    </row>
    <row r="5" spans="1:4" ht="15">
      <c r="A5" s="2488" t="s">
        <v>165</v>
      </c>
      <c r="B5" s="2488"/>
      <c r="C5" s="2488"/>
      <c r="D5" s="2488"/>
    </row>
    <row r="6" spans="1:4" ht="15">
      <c r="A6" s="104"/>
      <c r="B6" s="98"/>
      <c r="C6" s="105" t="s">
        <v>85</v>
      </c>
      <c r="D6" s="105" t="s">
        <v>86</v>
      </c>
    </row>
    <row r="7" spans="1:4" ht="12.75">
      <c r="A7" s="11">
        <v>511115</v>
      </c>
      <c r="B7" s="11" t="s">
        <v>198</v>
      </c>
      <c r="C7" s="35">
        <f>SUM(C8:C9)</f>
        <v>510000</v>
      </c>
      <c r="D7" s="35">
        <f>+ROUND(C7,-3)/1000</f>
        <v>510</v>
      </c>
    </row>
    <row r="8" spans="1:4" ht="12.75">
      <c r="A8" s="11"/>
      <c r="B8" s="13" t="s">
        <v>462</v>
      </c>
      <c r="C8" s="875">
        <v>190000</v>
      </c>
      <c r="D8" s="35"/>
    </row>
    <row r="9" spans="1:4" ht="12.75">
      <c r="A9" s="11"/>
      <c r="B9" s="13" t="s">
        <v>1287</v>
      </c>
      <c r="C9" s="14">
        <v>320000</v>
      </c>
      <c r="D9" s="35"/>
    </row>
    <row r="10" spans="1:4" ht="12.75">
      <c r="A10" s="11"/>
      <c r="B10" s="13"/>
      <c r="C10" s="14"/>
      <c r="D10" s="35"/>
    </row>
    <row r="11" spans="1:4" ht="13.5" thickBot="1">
      <c r="A11" s="855"/>
      <c r="B11" s="856"/>
      <c r="C11" s="857"/>
      <c r="D11" s="858"/>
    </row>
    <row r="12" spans="1:4" ht="16.5" thickBot="1">
      <c r="A12" s="2502" t="s">
        <v>169</v>
      </c>
      <c r="B12" s="2503"/>
      <c r="C12" s="2503"/>
      <c r="D12" s="806">
        <f>+D7</f>
        <v>510</v>
      </c>
    </row>
    <row r="13" spans="1:4" ht="15">
      <c r="A13" s="2500" t="s">
        <v>170</v>
      </c>
      <c r="B13" s="2501"/>
      <c r="C13" s="2501"/>
      <c r="D13" s="2501"/>
    </row>
    <row r="14" spans="1:4" ht="12.75">
      <c r="A14" s="13">
        <v>53112</v>
      </c>
      <c r="B14" s="13" t="s">
        <v>0</v>
      </c>
      <c r="C14" s="7">
        <f>SUM(C15:C15)</f>
        <v>137700</v>
      </c>
      <c r="D14" s="14">
        <f>+ROUND(C14,-3)/1000</f>
        <v>138</v>
      </c>
    </row>
    <row r="15" spans="1:4" ht="13.5" thickBot="1">
      <c r="A15" s="855"/>
      <c r="B15" s="859" t="s">
        <v>323</v>
      </c>
      <c r="C15" s="857">
        <f>+C7*0.27</f>
        <v>137700</v>
      </c>
      <c r="D15" s="860"/>
    </row>
    <row r="16" spans="1:4" ht="16.5" thickBot="1">
      <c r="A16" s="2502" t="s">
        <v>1386</v>
      </c>
      <c r="B16" s="2503"/>
      <c r="C16" s="2503"/>
      <c r="D16" s="509">
        <f>+D14</f>
        <v>138</v>
      </c>
    </row>
    <row r="17" spans="1:4" ht="15">
      <c r="A17" s="2488" t="s">
        <v>172</v>
      </c>
      <c r="B17" s="2488"/>
      <c r="C17" s="2488"/>
      <c r="D17" s="2488"/>
    </row>
    <row r="18" spans="1:4" ht="12.75">
      <c r="A18" s="666">
        <v>54711</v>
      </c>
      <c r="B18" s="567" t="s">
        <v>1166</v>
      </c>
      <c r="C18" s="515"/>
      <c r="D18" s="532"/>
    </row>
    <row r="19" spans="1:4" ht="12.75">
      <c r="A19" s="666">
        <v>5481</v>
      </c>
      <c r="B19" s="567" t="s">
        <v>1173</v>
      </c>
      <c r="C19" s="515"/>
      <c r="D19" s="532"/>
    </row>
    <row r="20" spans="1:4" ht="12.75">
      <c r="A20" s="666">
        <v>55219</v>
      </c>
      <c r="B20" s="567" t="s">
        <v>1167</v>
      </c>
      <c r="C20" s="515"/>
      <c r="D20" s="532"/>
    </row>
    <row r="21" spans="1:4" ht="13.5" thickBot="1">
      <c r="A21" s="808">
        <v>56111</v>
      </c>
      <c r="B21" s="809" t="s">
        <v>1399</v>
      </c>
      <c r="C21" s="810"/>
      <c r="D21" s="811"/>
    </row>
    <row r="22" spans="1:4" ht="16.5" thickBot="1">
      <c r="A22" s="2502" t="s">
        <v>1372</v>
      </c>
      <c r="B22" s="2503"/>
      <c r="C22" s="2503"/>
      <c r="D22" s="522">
        <f>D18+D19+D20+D21</f>
        <v>0</v>
      </c>
    </row>
    <row r="23" spans="1:4" ht="15.75">
      <c r="A23" s="80"/>
      <c r="B23" s="80"/>
      <c r="C23" s="80"/>
      <c r="D23" s="81"/>
    </row>
    <row r="24" spans="1:4" ht="15">
      <c r="A24" s="2488" t="s">
        <v>215</v>
      </c>
      <c r="B24" s="2488"/>
      <c r="C24" s="2488"/>
      <c r="D24" s="2488"/>
    </row>
    <row r="25" spans="1:4" ht="15">
      <c r="A25" s="98"/>
      <c r="B25" s="98"/>
      <c r="C25" s="98"/>
      <c r="D25" s="98"/>
    </row>
    <row r="26" spans="1:4" ht="15.75">
      <c r="A26" s="2495" t="s">
        <v>1368</v>
      </c>
      <c r="B26" s="2495"/>
      <c r="C26" s="2495"/>
      <c r="D26" s="78"/>
    </row>
    <row r="27" spans="1:4" ht="15">
      <c r="A27" s="98"/>
      <c r="B27" s="98"/>
      <c r="C27" s="98"/>
      <c r="D27" s="98"/>
    </row>
    <row r="28" spans="1:4" ht="15">
      <c r="A28" s="2488" t="s">
        <v>185</v>
      </c>
      <c r="B28" s="2488"/>
      <c r="C28" s="2488"/>
      <c r="D28" s="2488"/>
    </row>
    <row r="29" spans="1:4" ht="15">
      <c r="A29" s="98"/>
      <c r="B29" s="98"/>
      <c r="C29" s="98"/>
      <c r="D29" s="98"/>
    </row>
    <row r="30" spans="1:4" ht="15.75">
      <c r="A30" s="2495" t="s">
        <v>186</v>
      </c>
      <c r="B30" s="2495"/>
      <c r="C30" s="2495"/>
      <c r="D30" s="78"/>
    </row>
    <row r="31" spans="1:4" ht="15">
      <c r="A31" s="98"/>
      <c r="B31" s="98"/>
      <c r="C31" s="98"/>
      <c r="D31" s="98"/>
    </row>
    <row r="32" spans="1:4" ht="15.75">
      <c r="A32" s="2493" t="s">
        <v>1375</v>
      </c>
      <c r="B32" s="2493"/>
      <c r="C32" s="2493"/>
      <c r="D32" s="79">
        <f>+D30+D26+D22+D16+D12</f>
        <v>648</v>
      </c>
    </row>
    <row r="35" spans="1:4" ht="12.75">
      <c r="A35" s="5"/>
      <c r="B35" s="13" t="s">
        <v>1875</v>
      </c>
      <c r="C35" s="5"/>
      <c r="D35" s="5"/>
    </row>
    <row r="36" spans="1:4" ht="12.75">
      <c r="A36" s="5"/>
      <c r="B36" s="5"/>
      <c r="C36" s="5"/>
      <c r="D36" s="5"/>
    </row>
    <row r="37" spans="1:4" ht="12.75">
      <c r="A37" s="5">
        <v>4641221</v>
      </c>
      <c r="B37" s="13" t="s">
        <v>1876</v>
      </c>
      <c r="C37" s="5"/>
      <c r="D37" s="35">
        <f>SUM(D38:D38)</f>
        <v>648</v>
      </c>
    </row>
    <row r="38" spans="1:4" ht="12.75">
      <c r="A38" s="5"/>
      <c r="B38" s="876">
        <v>1</v>
      </c>
      <c r="C38" s="6">
        <f>+C7+C14</f>
        <v>647700</v>
      </c>
      <c r="D38" s="6">
        <f>+ROUND(C38,-3)/1000</f>
        <v>648</v>
      </c>
    </row>
    <row r="39" spans="1:4" ht="15.75">
      <c r="A39" s="667" t="s">
        <v>1374</v>
      </c>
      <c r="B39" s="667"/>
      <c r="C39" s="667"/>
      <c r="D39" s="668">
        <f>+D37</f>
        <v>648</v>
      </c>
    </row>
  </sheetData>
  <sheetProtection/>
  <mergeCells count="14">
    <mergeCell ref="A30:C30"/>
    <mergeCell ref="A32:C32"/>
    <mergeCell ref="A16:C16"/>
    <mergeCell ref="A17:D17"/>
    <mergeCell ref="A22:C22"/>
    <mergeCell ref="A24:D24"/>
    <mergeCell ref="A26:C26"/>
    <mergeCell ref="A28:D28"/>
    <mergeCell ref="A13:D13"/>
    <mergeCell ref="B1:C1"/>
    <mergeCell ref="B2:C2"/>
    <mergeCell ref="A4:D4"/>
    <mergeCell ref="A5:D5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E34" sqref="E34"/>
    </sheetView>
  </sheetViews>
  <sheetFormatPr defaultColWidth="9.140625" defaultRowHeight="12.75"/>
  <cols>
    <col min="1" max="1" width="12.8515625" style="0" customWidth="1"/>
    <col min="2" max="2" width="56.140625" style="0" customWidth="1"/>
    <col min="3" max="3" width="9.7109375" style="0" bestFit="1" customWidth="1"/>
    <col min="4" max="4" width="0.9921875" style="0" customWidth="1"/>
    <col min="5" max="5" width="9.00390625" style="0" bestFit="1" customWidth="1"/>
  </cols>
  <sheetData>
    <row r="1" spans="2:5" ht="18">
      <c r="B1" s="101" t="s">
        <v>1</v>
      </c>
      <c r="E1" s="401"/>
    </row>
    <row r="2" spans="1:5" ht="15.75">
      <c r="A2" s="2455" t="s">
        <v>469</v>
      </c>
      <c r="B2" s="2455"/>
      <c r="C2" s="2455"/>
      <c r="D2" s="2455"/>
      <c r="E2" s="2455"/>
    </row>
    <row r="3" ht="12.75">
      <c r="E3" s="401"/>
    </row>
    <row r="4" spans="1:5" ht="15">
      <c r="A4" s="2513" t="s">
        <v>1373</v>
      </c>
      <c r="B4" s="2513"/>
      <c r="C4" s="2513"/>
      <c r="D4" s="2513"/>
      <c r="E4" s="2513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2531" t="s">
        <v>676</v>
      </c>
      <c r="B6" s="2532"/>
      <c r="C6" s="2532"/>
      <c r="D6" s="2532"/>
      <c r="E6" s="2532"/>
    </row>
    <row r="7" spans="1:5" ht="15">
      <c r="A7" s="104"/>
      <c r="B7" s="98"/>
      <c r="C7" s="105"/>
      <c r="D7" s="105"/>
      <c r="E7" s="105" t="s">
        <v>86</v>
      </c>
    </row>
    <row r="8" spans="1:5" ht="15">
      <c r="A8" s="104"/>
      <c r="B8" s="98"/>
      <c r="C8" s="105"/>
      <c r="D8" s="105"/>
      <c r="E8" s="105"/>
    </row>
    <row r="9" spans="1:5" ht="12.75">
      <c r="A9" s="13" t="s">
        <v>163</v>
      </c>
      <c r="B9" s="13" t="s">
        <v>1432</v>
      </c>
      <c r="C9" s="14"/>
      <c r="D9" s="14"/>
      <c r="E9" s="14"/>
    </row>
    <row r="10" spans="1:5" ht="12.75">
      <c r="A10" s="532">
        <v>511115</v>
      </c>
      <c r="B10" s="13" t="s">
        <v>470</v>
      </c>
      <c r="C10" s="14">
        <f>C11+C12</f>
        <v>988748</v>
      </c>
      <c r="D10" s="14"/>
      <c r="E10" s="14">
        <f>+ROUND(C10,-3)/1000</f>
        <v>989</v>
      </c>
    </row>
    <row r="11" spans="1:5" ht="12.75">
      <c r="A11" s="642">
        <v>511</v>
      </c>
      <c r="B11" s="571" t="s">
        <v>1943</v>
      </c>
      <c r="C11" s="513">
        <f>29958*6</f>
        <v>179748</v>
      </c>
      <c r="D11" s="513"/>
      <c r="E11" s="14">
        <f>+ROUND(C11,-3)/1000</f>
        <v>180</v>
      </c>
    </row>
    <row r="12" spans="1:5" ht="12.75">
      <c r="A12" s="642">
        <v>512</v>
      </c>
      <c r="B12" s="713" t="s">
        <v>41</v>
      </c>
      <c r="C12" s="513">
        <f>809000</f>
        <v>809000</v>
      </c>
      <c r="D12" s="513"/>
      <c r="E12" s="14">
        <f>+ROUND(C12,-3)/1000</f>
        <v>809</v>
      </c>
    </row>
    <row r="13" spans="1:5" ht="13.5" customHeight="1">
      <c r="A13" s="642">
        <v>513</v>
      </c>
      <c r="B13" s="571"/>
      <c r="C13" s="513"/>
      <c r="D13" s="513"/>
      <c r="E13" s="513">
        <v>0</v>
      </c>
    </row>
    <row r="14" spans="1:5" ht="13.5" thickBot="1">
      <c r="A14" s="642">
        <v>514</v>
      </c>
      <c r="B14" s="643"/>
      <c r="C14" s="513"/>
      <c r="D14" s="513"/>
      <c r="E14" s="513">
        <v>0</v>
      </c>
    </row>
    <row r="15" spans="1:5" ht="16.5" thickBot="1">
      <c r="A15" s="2502" t="s">
        <v>169</v>
      </c>
      <c r="B15" s="2503"/>
      <c r="C15" s="2503"/>
      <c r="D15" s="593"/>
      <c r="E15" s="509">
        <f>+E11+E12+E13+E14</f>
        <v>989</v>
      </c>
    </row>
    <row r="16" spans="1:5" ht="15.75">
      <c r="A16" s="80"/>
      <c r="B16" s="80"/>
      <c r="C16" s="80"/>
      <c r="D16" s="80"/>
      <c r="E16" s="407"/>
    </row>
    <row r="17" spans="1:5" ht="15">
      <c r="A17" s="2500" t="s">
        <v>170</v>
      </c>
      <c r="B17" s="2501"/>
      <c r="C17" s="2501"/>
      <c r="D17" s="2501"/>
      <c r="E17" s="2501"/>
    </row>
    <row r="18" spans="1:5" ht="15">
      <c r="A18" s="999"/>
      <c r="B18" s="1000"/>
      <c r="C18" s="1000"/>
      <c r="D18" s="1000"/>
      <c r="E18" s="1000"/>
    </row>
    <row r="19" spans="1:5" ht="13.5" thickBot="1">
      <c r="A19" s="517">
        <v>53112</v>
      </c>
      <c r="B19" s="517" t="s">
        <v>1068</v>
      </c>
      <c r="C19" s="1436">
        <v>246161</v>
      </c>
      <c r="D19" s="533"/>
      <c r="E19" s="518">
        <f>ROUND(C19,-3)/1000</f>
        <v>246</v>
      </c>
    </row>
    <row r="20" spans="1:5" ht="16.5" thickBot="1">
      <c r="A20" s="2502" t="s">
        <v>1386</v>
      </c>
      <c r="B20" s="2503"/>
      <c r="C20" s="2503"/>
      <c r="D20" s="593"/>
      <c r="E20" s="509">
        <f>+E19</f>
        <v>246</v>
      </c>
    </row>
    <row r="21" spans="1:5" ht="15.75">
      <c r="A21" s="80"/>
      <c r="B21" s="80"/>
      <c r="C21" s="80"/>
      <c r="D21" s="80"/>
      <c r="E21" s="407"/>
    </row>
    <row r="22" spans="1:5" ht="12.75">
      <c r="A22" s="2469" t="s">
        <v>172</v>
      </c>
      <c r="B22" s="2469"/>
      <c r="C22" s="2469"/>
      <c r="D22" s="2469"/>
      <c r="E22" s="2469"/>
    </row>
    <row r="23" spans="1:5" ht="12.75">
      <c r="A23" s="11">
        <v>54711</v>
      </c>
      <c r="B23" s="11" t="s">
        <v>191</v>
      </c>
      <c r="C23" s="11"/>
      <c r="D23" s="11"/>
      <c r="E23" s="534"/>
    </row>
    <row r="24" spans="1:5" ht="12.75">
      <c r="A24" s="11">
        <v>56317</v>
      </c>
      <c r="B24" s="11" t="s">
        <v>2086</v>
      </c>
      <c r="C24" s="11">
        <v>1615</v>
      </c>
      <c r="D24" s="11">
        <v>1615</v>
      </c>
      <c r="E24" s="11">
        <v>1615</v>
      </c>
    </row>
    <row r="25" spans="1:5" ht="13.5" thickBot="1">
      <c r="A25" s="517">
        <v>561111</v>
      </c>
      <c r="B25" s="517" t="s">
        <v>192</v>
      </c>
      <c r="C25" s="518">
        <f>C24*0.27</f>
        <v>436.05</v>
      </c>
      <c r="D25" s="518">
        <f>D24*0.27</f>
        <v>436.05</v>
      </c>
      <c r="E25" s="518">
        <f>E24*0.27</f>
        <v>436.05</v>
      </c>
    </row>
    <row r="26" spans="1:5" ht="16.5" thickBot="1">
      <c r="A26" s="2502" t="s">
        <v>1372</v>
      </c>
      <c r="B26" s="2503"/>
      <c r="C26" s="2503"/>
      <c r="D26" s="593"/>
      <c r="E26" s="536">
        <f>SUM(E23:E25)</f>
        <v>2051.05</v>
      </c>
    </row>
    <row r="27" spans="1:5" ht="15.75">
      <c r="A27" s="80"/>
      <c r="B27" s="80"/>
      <c r="C27" s="80"/>
      <c r="D27" s="80"/>
      <c r="E27" s="408"/>
    </row>
    <row r="28" spans="1:7" ht="15.75">
      <c r="A28" s="2493" t="s">
        <v>1375</v>
      </c>
      <c r="B28" s="2493"/>
      <c r="C28" s="2493"/>
      <c r="D28" s="341"/>
      <c r="E28" s="400">
        <v>3321</v>
      </c>
      <c r="G28" s="7"/>
    </row>
    <row r="29" ht="12.75">
      <c r="E29" s="401"/>
    </row>
    <row r="30" ht="12.75">
      <c r="E30" s="401"/>
    </row>
    <row r="31" spans="1:5" ht="12.75">
      <c r="A31" s="5">
        <v>4711</v>
      </c>
      <c r="B31" s="13" t="s">
        <v>193</v>
      </c>
      <c r="C31" s="5"/>
      <c r="D31" s="5"/>
      <c r="E31" s="670">
        <f>+E28</f>
        <v>3321</v>
      </c>
    </row>
    <row r="32" spans="1:5" ht="12.75">
      <c r="A32" s="5"/>
      <c r="B32" s="5"/>
      <c r="C32" s="5"/>
      <c r="D32" s="5"/>
      <c r="E32" s="532"/>
    </row>
    <row r="33" spans="1:5" ht="15.75">
      <c r="A33" s="667" t="s">
        <v>1084</v>
      </c>
      <c r="B33" s="667"/>
      <c r="C33" s="667"/>
      <c r="D33" s="667"/>
      <c r="E33" s="849">
        <f>7542-3372</f>
        <v>4170</v>
      </c>
    </row>
    <row r="34" ht="12.75">
      <c r="E34" s="401"/>
    </row>
    <row r="35" ht="12.75">
      <c r="E35" s="401"/>
    </row>
    <row r="36" ht="12.75">
      <c r="E36" s="401"/>
    </row>
    <row r="37" ht="12.75">
      <c r="E37" s="401"/>
    </row>
  </sheetData>
  <sheetProtection/>
  <mergeCells count="10">
    <mergeCell ref="A28:C28"/>
    <mergeCell ref="A2:E2"/>
    <mergeCell ref="A4:E4"/>
    <mergeCell ref="A5:E5"/>
    <mergeCell ref="A6:E6"/>
    <mergeCell ref="A15:C15"/>
    <mergeCell ref="A17:E17"/>
    <mergeCell ref="A20:C20"/>
    <mergeCell ref="A22:E22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120"/>
  <sheetViews>
    <sheetView view="pageBreakPreview" zoomScaleNormal="85" zoomScaleSheetLayoutView="100" zoomScalePageLayoutView="0" workbookViewId="0" topLeftCell="A49">
      <selection activeCell="E39" sqref="E39"/>
    </sheetView>
  </sheetViews>
  <sheetFormatPr defaultColWidth="9.140625" defaultRowHeight="12.75"/>
  <cols>
    <col min="1" max="1" width="10.8515625" style="0" customWidth="1"/>
    <col min="2" max="2" width="67.00390625" style="0" bestFit="1" customWidth="1"/>
    <col min="3" max="3" width="13.7109375" style="0" bestFit="1" customWidth="1"/>
    <col min="4" max="4" width="12.28125" style="0" customWidth="1"/>
    <col min="5" max="5" width="14.00390625" style="0" customWidth="1"/>
    <col min="6" max="6" width="12.28125" style="0" customWidth="1"/>
    <col min="7" max="7" width="10.57421875" style="0" bestFit="1" customWidth="1"/>
  </cols>
  <sheetData>
    <row r="1" ht="27" customHeight="1">
      <c r="B1" s="101" t="s">
        <v>1</v>
      </c>
    </row>
    <row r="2" ht="18">
      <c r="B2" s="393" t="s">
        <v>1033</v>
      </c>
    </row>
    <row r="3" spans="1:5" ht="15">
      <c r="A3" s="2515" t="s">
        <v>1373</v>
      </c>
      <c r="B3" s="2515"/>
      <c r="C3" s="2515"/>
      <c r="D3" s="2515"/>
      <c r="E3" s="2515"/>
    </row>
    <row r="4" spans="1:5" ht="12.75">
      <c r="A4" s="2469" t="s">
        <v>165</v>
      </c>
      <c r="B4" s="2469"/>
      <c r="C4" s="2469"/>
      <c r="D4" s="2469"/>
      <c r="E4" s="2469"/>
    </row>
    <row r="5" spans="1:5" ht="12.75">
      <c r="A5" s="2469" t="s">
        <v>83</v>
      </c>
      <c r="B5" s="2469"/>
      <c r="C5" s="2469"/>
      <c r="D5" s="2469"/>
      <c r="E5" s="2469"/>
    </row>
    <row r="6" spans="1:5" ht="12.75">
      <c r="A6" s="2469" t="s">
        <v>183</v>
      </c>
      <c r="B6" s="2469"/>
      <c r="C6" s="2469"/>
      <c r="D6" s="2469"/>
      <c r="E6" s="2469"/>
    </row>
    <row r="7" spans="1:5" s="9" customFormat="1" ht="12.75">
      <c r="A7" s="95">
        <v>511115</v>
      </c>
      <c r="B7" s="124" t="s">
        <v>1381</v>
      </c>
      <c r="C7" s="125"/>
      <c r="D7" s="92"/>
      <c r="E7" s="125">
        <v>0</v>
      </c>
    </row>
    <row r="8" spans="1:5" ht="12.75">
      <c r="A8" s="53"/>
      <c r="B8" s="62"/>
      <c r="C8" s="77"/>
      <c r="D8" s="53"/>
      <c r="E8" s="53"/>
    </row>
    <row r="9" spans="1:5" ht="12.75">
      <c r="A9" s="53"/>
      <c r="B9" s="62"/>
      <c r="C9" s="77"/>
      <c r="D9" s="53"/>
      <c r="E9" s="53"/>
    </row>
    <row r="10" spans="1:7" ht="12.75">
      <c r="A10" s="42"/>
      <c r="B10" s="20"/>
      <c r="C10" s="126"/>
      <c r="D10" s="68"/>
      <c r="E10" s="7"/>
      <c r="G10" s="68"/>
    </row>
    <row r="11" spans="1:7" ht="12.75">
      <c r="A11" s="42"/>
      <c r="B11" s="20"/>
      <c r="C11" s="126"/>
      <c r="D11" s="68"/>
      <c r="E11" s="7"/>
      <c r="G11" s="68"/>
    </row>
    <row r="12" spans="1:5" ht="12.75">
      <c r="A12" s="63">
        <v>51611</v>
      </c>
      <c r="B12" s="63" t="s">
        <v>184</v>
      </c>
      <c r="C12" s="91"/>
      <c r="D12" s="60"/>
      <c r="E12" s="60">
        <v>0</v>
      </c>
    </row>
    <row r="13" spans="1:5" ht="12.75">
      <c r="A13" s="66"/>
      <c r="B13" s="66"/>
      <c r="C13" s="67"/>
      <c r="D13" s="67"/>
      <c r="E13" s="67"/>
    </row>
    <row r="14" spans="1:5" ht="15.75">
      <c r="A14" s="2495" t="s">
        <v>169</v>
      </c>
      <c r="B14" s="2495"/>
      <c r="C14" s="2495"/>
      <c r="D14" s="2495"/>
      <c r="E14" s="69"/>
    </row>
    <row r="15" spans="1:5" ht="12.75">
      <c r="A15" s="66"/>
      <c r="B15" s="66"/>
      <c r="C15" s="67"/>
      <c r="D15" s="67"/>
      <c r="E15" s="67"/>
    </row>
    <row r="16" spans="1:5" ht="12.75">
      <c r="A16" s="66"/>
      <c r="B16" s="66"/>
      <c r="C16" s="67"/>
      <c r="D16" s="67"/>
      <c r="E16" s="67"/>
    </row>
    <row r="17" spans="1:5" ht="12.75">
      <c r="A17" s="2420" t="s">
        <v>170</v>
      </c>
      <c r="B17" s="2509"/>
      <c r="C17" s="2509"/>
      <c r="D17" s="2509"/>
      <c r="E17" s="2509"/>
    </row>
    <row r="18" spans="1:5" ht="12.75">
      <c r="A18" s="66"/>
      <c r="B18" s="66"/>
      <c r="C18" s="67"/>
      <c r="D18" s="67"/>
      <c r="E18" s="67"/>
    </row>
    <row r="19" spans="1:5" ht="12.75">
      <c r="A19" s="66"/>
      <c r="B19" s="66"/>
      <c r="C19" s="67"/>
      <c r="D19" s="67"/>
      <c r="E19" s="67"/>
    </row>
    <row r="20" spans="1:5" ht="13.5" thickBot="1">
      <c r="A20" s="517">
        <v>53112</v>
      </c>
      <c r="B20" s="517" t="s">
        <v>1068</v>
      </c>
      <c r="C20" s="521"/>
      <c r="D20" s="519"/>
      <c r="E20" s="518">
        <v>0</v>
      </c>
    </row>
    <row r="21" spans="1:5" ht="16.5" thickBot="1">
      <c r="A21" s="2502" t="s">
        <v>1386</v>
      </c>
      <c r="B21" s="2503"/>
      <c r="C21" s="2503"/>
      <c r="D21" s="2503"/>
      <c r="E21" s="509">
        <f>+E20</f>
        <v>0</v>
      </c>
    </row>
    <row r="22" spans="1:5" ht="12.75">
      <c r="A22" s="66"/>
      <c r="B22" s="66"/>
      <c r="C22" s="67"/>
      <c r="D22" s="67"/>
      <c r="E22" s="67"/>
    </row>
    <row r="23" spans="1:5" ht="12.75">
      <c r="A23" s="66"/>
      <c r="B23" s="66"/>
      <c r="C23" s="67"/>
      <c r="D23" s="67"/>
      <c r="E23" s="67"/>
    </row>
    <row r="24" spans="1:5" ht="12.75">
      <c r="A24" s="2469" t="s">
        <v>172</v>
      </c>
      <c r="B24" s="2469"/>
      <c r="C24" s="2469"/>
      <c r="D24" s="2469"/>
      <c r="E24" s="2469"/>
    </row>
    <row r="25" spans="1:5" ht="12.75">
      <c r="A25" s="2469" t="s">
        <v>1388</v>
      </c>
      <c r="B25" s="2469"/>
      <c r="C25" s="2469"/>
      <c r="D25" s="2469"/>
      <c r="E25" s="2469"/>
    </row>
    <row r="26" spans="1:5" ht="12.75">
      <c r="A26" s="66"/>
      <c r="B26" s="66"/>
      <c r="C26" s="67"/>
      <c r="D26" s="67"/>
      <c r="E26" s="67"/>
    </row>
    <row r="27" spans="1:5" ht="12.75">
      <c r="A27" s="11">
        <v>5431</v>
      </c>
      <c r="B27" s="47" t="s">
        <v>1164</v>
      </c>
      <c r="C27" s="35"/>
      <c r="D27" s="35"/>
      <c r="E27" s="35">
        <v>50</v>
      </c>
    </row>
    <row r="28" spans="1:5" ht="12.75">
      <c r="A28" s="11">
        <v>55111</v>
      </c>
      <c r="B28" s="47" t="s">
        <v>1392</v>
      </c>
      <c r="C28" s="35"/>
      <c r="D28" s="35"/>
      <c r="E28" s="35">
        <v>120</v>
      </c>
    </row>
    <row r="29" spans="1:5" ht="12.75">
      <c r="A29" s="537">
        <v>55212</v>
      </c>
      <c r="B29" s="11" t="s">
        <v>645</v>
      </c>
      <c r="C29" s="64"/>
      <c r="D29" s="64"/>
      <c r="E29" s="64"/>
    </row>
    <row r="30" spans="1:5" ht="12.75">
      <c r="A30" s="11">
        <v>55215</v>
      </c>
      <c r="B30" s="47" t="s">
        <v>1395</v>
      </c>
      <c r="C30" s="35"/>
      <c r="D30" s="35"/>
      <c r="E30" s="35"/>
    </row>
    <row r="31" spans="1:5" ht="12.75">
      <c r="A31" s="11">
        <v>55217</v>
      </c>
      <c r="B31" s="47" t="s">
        <v>1396</v>
      </c>
      <c r="C31" s="35"/>
      <c r="D31" s="35"/>
      <c r="E31" s="35"/>
    </row>
    <row r="32" spans="1:5" ht="12.75">
      <c r="A32" s="11">
        <v>55219</v>
      </c>
      <c r="B32" s="47" t="s">
        <v>182</v>
      </c>
      <c r="C32" s="35"/>
      <c r="D32" s="35"/>
      <c r="E32" s="35">
        <v>200</v>
      </c>
    </row>
    <row r="33" spans="1:5" ht="12.75">
      <c r="A33" s="528">
        <v>56111</v>
      </c>
      <c r="B33" s="538" t="s">
        <v>1399</v>
      </c>
      <c r="C33" s="538"/>
      <c r="D33" s="538"/>
      <c r="E33" s="539">
        <f>(E27+E28+E32+E35)*0.27</f>
        <v>288.90000000000003</v>
      </c>
    </row>
    <row r="34" spans="1:5" ht="12.75">
      <c r="A34" s="11">
        <v>56211</v>
      </c>
      <c r="B34" s="11" t="s">
        <v>1400</v>
      </c>
      <c r="C34" s="11"/>
      <c r="D34" s="35"/>
      <c r="E34" s="35">
        <v>341</v>
      </c>
    </row>
    <row r="35" spans="1:5" ht="12.75">
      <c r="A35" s="517">
        <v>56319</v>
      </c>
      <c r="B35" s="236" t="s">
        <v>2086</v>
      </c>
      <c r="C35" s="518"/>
      <c r="D35" s="518"/>
      <c r="E35" s="518">
        <v>700</v>
      </c>
    </row>
    <row r="36" spans="1:5" ht="12.75">
      <c r="A36" s="11"/>
      <c r="B36" s="47" t="s">
        <v>1165</v>
      </c>
      <c r="C36" s="35"/>
      <c r="D36" s="35"/>
      <c r="E36" s="35"/>
    </row>
    <row r="37" spans="1:5" ht="12.75">
      <c r="A37" s="11"/>
      <c r="B37" s="47" t="s">
        <v>1868</v>
      </c>
      <c r="C37" s="35"/>
      <c r="D37" s="35"/>
      <c r="E37" s="35"/>
    </row>
    <row r="38" ht="13.5" thickBot="1">
      <c r="B38" s="624"/>
    </row>
    <row r="39" spans="1:5" ht="16.5" thickBot="1">
      <c r="A39" s="2502" t="s">
        <v>1372</v>
      </c>
      <c r="B39" s="2503"/>
      <c r="C39" s="2503"/>
      <c r="D39" s="2503"/>
      <c r="E39" s="522">
        <f>SUM(E27:E37)</f>
        <v>1699.9</v>
      </c>
    </row>
    <row r="41" spans="1:5" ht="12.75">
      <c r="A41" s="2469" t="s">
        <v>215</v>
      </c>
      <c r="B41" s="2469"/>
      <c r="C41" s="2469"/>
      <c r="D41" s="2469"/>
      <c r="E41" s="2469"/>
    </row>
    <row r="43" spans="1:5" ht="12.75">
      <c r="A43" s="517">
        <v>592</v>
      </c>
      <c r="B43" s="236" t="s">
        <v>508</v>
      </c>
      <c r="C43" s="518">
        <v>100000</v>
      </c>
      <c r="D43" s="518"/>
      <c r="E43" s="518">
        <f>+C43/1000</f>
        <v>100</v>
      </c>
    </row>
    <row r="44" spans="1:5" ht="12.75">
      <c r="A44" s="65"/>
      <c r="B44" s="625"/>
      <c r="C44" s="57"/>
      <c r="D44" s="57"/>
      <c r="E44" s="57"/>
    </row>
    <row r="45" spans="1:5" ht="12.75">
      <c r="A45" s="65"/>
      <c r="B45" s="625"/>
      <c r="C45" s="57"/>
      <c r="D45" s="57"/>
      <c r="E45" s="57"/>
    </row>
    <row r="46" spans="1:5" ht="13.5" thickBot="1">
      <c r="A46" s="65"/>
      <c r="B46" s="625"/>
      <c r="C46" s="57"/>
      <c r="D46" s="57"/>
      <c r="E46" s="57"/>
    </row>
    <row r="47" spans="1:5" ht="16.5" thickBot="1">
      <c r="A47" s="2525" t="s">
        <v>1368</v>
      </c>
      <c r="B47" s="2526"/>
      <c r="C47" s="2526"/>
      <c r="D47" s="2526"/>
      <c r="E47" s="540">
        <f>+E43</f>
        <v>100</v>
      </c>
    </row>
    <row r="49" spans="1:5" ht="12.75">
      <c r="A49" s="2469" t="s">
        <v>185</v>
      </c>
      <c r="B49" s="2469"/>
      <c r="C49" s="2469"/>
      <c r="D49" s="2469"/>
      <c r="E49" s="2469"/>
    </row>
    <row r="53" spans="1:5" ht="15.75">
      <c r="A53" s="2495" t="s">
        <v>186</v>
      </c>
      <c r="B53" s="2495"/>
      <c r="C53" s="2495"/>
      <c r="D53" s="2495"/>
      <c r="E53" s="78"/>
    </row>
    <row r="55" spans="1:5" s="30" customFormat="1" ht="15.75">
      <c r="A55" s="2493" t="s">
        <v>1375</v>
      </c>
      <c r="B55" s="2493"/>
      <c r="C55" s="2493"/>
      <c r="D55" s="2493"/>
      <c r="E55" s="79">
        <f>+E53+E47+E39+E21+E14</f>
        <v>1799.9</v>
      </c>
    </row>
    <row r="60" spans="1:5" ht="15">
      <c r="A60" s="2515" t="s">
        <v>1374</v>
      </c>
      <c r="B60" s="2515"/>
      <c r="C60" s="2515"/>
      <c r="D60" s="2515"/>
      <c r="E60" s="2515"/>
    </row>
    <row r="62" spans="1:5" ht="12.75">
      <c r="A62" s="2469" t="s">
        <v>187</v>
      </c>
      <c r="B62" s="2469"/>
      <c r="C62" s="2469"/>
      <c r="D62" s="2469"/>
      <c r="E62" s="2469"/>
    </row>
    <row r="63" spans="1:5" ht="12.75">
      <c r="A63" s="53"/>
      <c r="B63" s="53"/>
      <c r="C63" s="53"/>
      <c r="D63" s="53"/>
      <c r="E63" s="53"/>
    </row>
    <row r="64" spans="1:5" ht="13.5" thickBot="1">
      <c r="A64" s="517">
        <v>91913</v>
      </c>
      <c r="B64" s="517" t="s">
        <v>188</v>
      </c>
      <c r="C64" s="541"/>
      <c r="D64" s="520"/>
      <c r="E64" s="518">
        <f>+D64/1000</f>
        <v>0</v>
      </c>
    </row>
    <row r="65" spans="1:5" ht="16.5" thickBot="1">
      <c r="A65" s="2502" t="s">
        <v>677</v>
      </c>
      <c r="B65" s="2503"/>
      <c r="C65" s="2503"/>
      <c r="D65" s="2503"/>
      <c r="E65" s="522">
        <f>+E64</f>
        <v>0</v>
      </c>
    </row>
    <row r="67" spans="1:5" ht="12.75">
      <c r="A67" s="2469" t="s">
        <v>678</v>
      </c>
      <c r="B67" s="2469"/>
      <c r="C67" s="2469"/>
      <c r="D67" s="2469"/>
      <c r="E67" s="2469"/>
    </row>
    <row r="68" spans="1:5" ht="12.75">
      <c r="A68" s="53"/>
      <c r="B68" s="53"/>
      <c r="C68" s="53"/>
      <c r="D68" s="53"/>
      <c r="E68" s="53"/>
    </row>
    <row r="69" spans="1:5" ht="13.5" thickBot="1">
      <c r="A69" s="517">
        <v>92912</v>
      </c>
      <c r="B69" s="517" t="s">
        <v>686</v>
      </c>
      <c r="C69" s="541"/>
      <c r="D69" s="520"/>
      <c r="E69" s="518"/>
    </row>
    <row r="70" spans="1:5" ht="16.5" thickBot="1">
      <c r="A70" s="2502" t="s">
        <v>687</v>
      </c>
      <c r="B70" s="2503"/>
      <c r="C70" s="2503"/>
      <c r="D70" s="2503"/>
      <c r="E70" s="522"/>
    </row>
    <row r="71" spans="1:5" ht="12.75">
      <c r="A71" s="53"/>
      <c r="B71" s="53"/>
      <c r="C71" s="53"/>
      <c r="D71" s="53"/>
      <c r="E71" s="53"/>
    </row>
    <row r="72" spans="1:5" ht="12.75">
      <c r="A72" s="2469" t="s">
        <v>688</v>
      </c>
      <c r="B72" s="2469"/>
      <c r="C72" s="2469"/>
      <c r="D72" s="2469"/>
      <c r="E72" s="2469"/>
    </row>
    <row r="73" spans="1:5" ht="13.5" thickBot="1">
      <c r="A73" s="542"/>
      <c r="B73" s="542"/>
      <c r="C73" s="542"/>
      <c r="D73" s="542"/>
      <c r="E73" s="542"/>
    </row>
    <row r="74" spans="1:5" ht="16.5" thickBot="1">
      <c r="A74" s="2502" t="s">
        <v>204</v>
      </c>
      <c r="B74" s="2503"/>
      <c r="C74" s="2503"/>
      <c r="D74" s="2503"/>
      <c r="E74" s="522"/>
    </row>
    <row r="75" spans="1:5" ht="12.75">
      <c r="A75" s="53"/>
      <c r="B75" s="53"/>
      <c r="C75" s="53"/>
      <c r="D75" s="53"/>
      <c r="E75" s="53"/>
    </row>
    <row r="76" spans="1:5" ht="12.75">
      <c r="A76" s="2469" t="s">
        <v>689</v>
      </c>
      <c r="B76" s="2469"/>
      <c r="C76" s="2469"/>
      <c r="D76" s="2469"/>
      <c r="E76" s="2469"/>
    </row>
    <row r="77" spans="1:5" ht="12.75">
      <c r="A77" s="53"/>
      <c r="B77" s="53"/>
      <c r="C77" s="53"/>
      <c r="D77" s="53"/>
      <c r="E77" s="53"/>
    </row>
    <row r="78" spans="1:5" ht="12.75">
      <c r="A78" s="11">
        <v>464142</v>
      </c>
      <c r="B78" s="11" t="s">
        <v>690</v>
      </c>
      <c r="C78" s="64"/>
      <c r="D78" s="64"/>
      <c r="E78" s="35"/>
    </row>
    <row r="79" spans="1:5" ht="12.75">
      <c r="A79" s="11">
        <v>4641521</v>
      </c>
      <c r="B79" s="11" t="s">
        <v>691</v>
      </c>
      <c r="C79" s="64"/>
      <c r="D79" s="64"/>
      <c r="E79" s="35">
        <v>600</v>
      </c>
    </row>
    <row r="80" spans="1:5" ht="13.5" thickBot="1">
      <c r="A80" s="543">
        <v>46415212</v>
      </c>
      <c r="B80" s="517" t="s">
        <v>1383</v>
      </c>
      <c r="C80" s="520"/>
      <c r="D80" s="520"/>
      <c r="E80" s="518">
        <v>1200</v>
      </c>
    </row>
    <row r="81" spans="1:5" ht="16.5" thickBot="1">
      <c r="A81" s="2525" t="s">
        <v>197</v>
      </c>
      <c r="B81" s="2526"/>
      <c r="C81" s="2526"/>
      <c r="D81" s="2526"/>
      <c r="E81" s="544">
        <f>+E78+E79+E80</f>
        <v>1800</v>
      </c>
    </row>
    <row r="83" spans="1:5" ht="15.75">
      <c r="A83" s="2493" t="s">
        <v>1376</v>
      </c>
      <c r="B83" s="2493"/>
      <c r="C83" s="2493"/>
      <c r="D83" s="2493"/>
      <c r="E83" s="79">
        <f>+E81+E74+E70+E65</f>
        <v>1800</v>
      </c>
    </row>
    <row r="109" spans="1:7" ht="15" hidden="1">
      <c r="A109" s="2533" t="s">
        <v>1374</v>
      </c>
      <c r="B109" s="2533"/>
      <c r="C109" s="2533"/>
      <c r="D109" s="2533"/>
      <c r="E109" s="2533"/>
      <c r="F109" s="2533"/>
      <c r="G109" s="2533"/>
    </row>
    <row r="110" spans="1:6" ht="15" hidden="1">
      <c r="A110" s="29"/>
      <c r="B110" s="29"/>
      <c r="C110" s="29"/>
      <c r="D110" s="29"/>
      <c r="E110" s="29"/>
      <c r="F110" s="29"/>
    </row>
    <row r="111" spans="1:6" ht="15" hidden="1">
      <c r="A111" s="29"/>
      <c r="B111" s="29"/>
      <c r="C111" s="29"/>
      <c r="D111" s="29"/>
      <c r="E111" s="29"/>
      <c r="F111" s="29"/>
    </row>
    <row r="112" ht="12.75" hidden="1"/>
    <row r="113" ht="12.75" hidden="1"/>
    <row r="114" spans="1:7" ht="15" hidden="1">
      <c r="A114" s="2533" t="s">
        <v>1377</v>
      </c>
      <c r="B114" s="2533"/>
      <c r="C114" s="2533"/>
      <c r="D114" s="2533"/>
      <c r="E114" s="2533"/>
      <c r="F114" s="2533"/>
      <c r="G114" s="2533"/>
    </row>
    <row r="115" ht="12.75" hidden="1"/>
    <row r="116" ht="12.75" hidden="1"/>
    <row r="117" ht="12.75" hidden="1"/>
    <row r="118" ht="12.75" hidden="1"/>
    <row r="119" ht="12.75" hidden="1"/>
    <row r="120" spans="1:7" ht="15" hidden="1">
      <c r="A120" s="2533" t="s">
        <v>1378</v>
      </c>
      <c r="B120" s="2533"/>
      <c r="C120" s="2533"/>
      <c r="D120" s="2533"/>
      <c r="E120" s="2533"/>
      <c r="F120" s="2533"/>
      <c r="G120" s="2533"/>
    </row>
  </sheetData>
  <sheetProtection/>
  <mergeCells count="28">
    <mergeCell ref="A17:E17"/>
    <mergeCell ref="A120:G120"/>
    <mergeCell ref="A83:D83"/>
    <mergeCell ref="A109:G109"/>
    <mergeCell ref="A114:G114"/>
    <mergeCell ref="A55:D55"/>
    <mergeCell ref="A21:D21"/>
    <mergeCell ref="A53:D53"/>
    <mergeCell ref="A24:E24"/>
    <mergeCell ref="A49:E49"/>
    <mergeCell ref="A3:E3"/>
    <mergeCell ref="A4:E4"/>
    <mergeCell ref="A5:E5"/>
    <mergeCell ref="A6:E6"/>
    <mergeCell ref="A14:D14"/>
    <mergeCell ref="A81:D81"/>
    <mergeCell ref="A74:D74"/>
    <mergeCell ref="A60:E60"/>
    <mergeCell ref="A62:E62"/>
    <mergeCell ref="A67:E67"/>
    <mergeCell ref="A25:E25"/>
    <mergeCell ref="A72:E72"/>
    <mergeCell ref="A76:E76"/>
    <mergeCell ref="A70:D70"/>
    <mergeCell ref="A65:D65"/>
    <mergeCell ref="A39:D39"/>
    <mergeCell ref="A41:E41"/>
    <mergeCell ref="A47:D4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6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7030A0"/>
  </sheetPr>
  <dimension ref="A1:E33"/>
  <sheetViews>
    <sheetView view="pageBreakPreview" zoomScale="60" zoomScaleNormal="85" zoomScalePageLayoutView="0" workbookViewId="0" topLeftCell="A13">
      <selection activeCell="E17" sqref="E17"/>
    </sheetView>
  </sheetViews>
  <sheetFormatPr defaultColWidth="9.140625" defaultRowHeight="27" customHeight="1"/>
  <cols>
    <col min="1" max="1" width="13.57421875" style="98" bestFit="1" customWidth="1"/>
    <col min="2" max="2" width="58.421875" style="98" bestFit="1" customWidth="1"/>
    <col min="3" max="6" width="10.421875" style="98" bestFit="1" customWidth="1"/>
    <col min="7" max="16384" width="9.140625" style="98" customWidth="1"/>
  </cols>
  <sheetData>
    <row r="1" spans="1:5" ht="27" customHeight="1">
      <c r="A1" s="128"/>
      <c r="B1" s="127" t="s">
        <v>1</v>
      </c>
      <c r="C1" s="128"/>
      <c r="D1" s="128"/>
      <c r="E1" s="128"/>
    </row>
    <row r="2" spans="1:5" ht="27" customHeight="1">
      <c r="A2" s="128"/>
      <c r="B2" s="397" t="s">
        <v>1035</v>
      </c>
      <c r="C2" s="128"/>
      <c r="D2" s="128"/>
      <c r="E2" s="128"/>
    </row>
    <row r="3" spans="1:5" ht="27" customHeight="1">
      <c r="A3" s="128"/>
      <c r="B3" s="128"/>
      <c r="C3" s="128"/>
      <c r="D3" s="128"/>
      <c r="E3" s="128"/>
    </row>
    <row r="4" spans="1:5" ht="27" customHeight="1">
      <c r="A4" s="2518" t="s">
        <v>1373</v>
      </c>
      <c r="B4" s="2518"/>
      <c r="C4" s="2518"/>
      <c r="D4" s="2518"/>
      <c r="E4" s="2518"/>
    </row>
    <row r="5" spans="1:5" ht="27" customHeight="1">
      <c r="A5" s="2536" t="s">
        <v>165</v>
      </c>
      <c r="B5" s="2536"/>
      <c r="C5" s="2536"/>
      <c r="D5" s="2536"/>
      <c r="E5" s="2536"/>
    </row>
    <row r="6" spans="1:5" ht="27" customHeight="1">
      <c r="A6" s="394"/>
      <c r="B6" s="394"/>
      <c r="C6" s="394"/>
      <c r="D6" s="394"/>
      <c r="E6" s="394"/>
    </row>
    <row r="7" spans="1:5" ht="27" customHeight="1">
      <c r="A7" s="2534" t="s">
        <v>170</v>
      </c>
      <c r="B7" s="2535"/>
      <c r="C7" s="2535"/>
      <c r="D7" s="2535"/>
      <c r="E7" s="2535"/>
    </row>
    <row r="8" spans="1:5" ht="27" customHeight="1">
      <c r="A8" s="167"/>
      <c r="B8" s="167"/>
      <c r="C8" s="166"/>
      <c r="D8" s="166"/>
      <c r="E8" s="166"/>
    </row>
    <row r="9" spans="1:5" ht="27" customHeight="1">
      <c r="A9" s="2536" t="s">
        <v>172</v>
      </c>
      <c r="B9" s="2536"/>
      <c r="C9" s="2536"/>
      <c r="D9" s="2536"/>
      <c r="E9" s="2536"/>
    </row>
    <row r="11" spans="1:5" ht="27" customHeight="1">
      <c r="A11" s="553">
        <v>5431</v>
      </c>
      <c r="B11" s="554" t="s">
        <v>1387</v>
      </c>
      <c r="C11" s="427"/>
      <c r="D11" s="427"/>
      <c r="E11" s="427">
        <v>0</v>
      </c>
    </row>
    <row r="12" spans="1:5" ht="27" customHeight="1">
      <c r="A12" s="553">
        <v>5441</v>
      </c>
      <c r="B12" s="553" t="s">
        <v>2084</v>
      </c>
      <c r="C12" s="427"/>
      <c r="D12" s="427"/>
      <c r="E12" s="427">
        <v>0</v>
      </c>
    </row>
    <row r="13" spans="1:5" ht="27" customHeight="1">
      <c r="A13" s="558" t="s">
        <v>1388</v>
      </c>
      <c r="B13" s="558"/>
      <c r="C13" s="558"/>
      <c r="D13" s="558"/>
      <c r="E13" s="559">
        <f>+E11+E12</f>
        <v>0</v>
      </c>
    </row>
    <row r="14" spans="1:5" ht="27" customHeight="1">
      <c r="A14" s="553">
        <v>55111</v>
      </c>
      <c r="B14" s="554" t="s">
        <v>1392</v>
      </c>
      <c r="C14" s="427"/>
      <c r="D14" s="427"/>
      <c r="E14" s="427">
        <v>46</v>
      </c>
    </row>
    <row r="15" spans="1:5" ht="27" customHeight="1">
      <c r="A15" s="553">
        <v>55213</v>
      </c>
      <c r="B15" s="554" t="s">
        <v>1902</v>
      </c>
      <c r="C15" s="427"/>
      <c r="D15" s="427"/>
      <c r="E15" s="427">
        <v>52</v>
      </c>
    </row>
    <row r="16" spans="1:5" ht="27" customHeight="1">
      <c r="A16" s="553">
        <v>55214</v>
      </c>
      <c r="B16" s="554" t="s">
        <v>1394</v>
      </c>
      <c r="C16" s="427"/>
      <c r="D16" s="427"/>
      <c r="E16" s="427">
        <v>27</v>
      </c>
    </row>
    <row r="17" spans="1:5" ht="27" customHeight="1">
      <c r="A17" s="553">
        <v>55215</v>
      </c>
      <c r="B17" s="554" t="s">
        <v>1395</v>
      </c>
      <c r="C17" s="427"/>
      <c r="D17" s="427"/>
      <c r="E17" s="427">
        <v>92</v>
      </c>
    </row>
    <row r="18" spans="1:5" ht="27" customHeight="1">
      <c r="A18" s="558" t="s">
        <v>1391</v>
      </c>
      <c r="B18" s="558"/>
      <c r="C18" s="558"/>
      <c r="D18" s="558"/>
      <c r="E18" s="559">
        <f>+E14+E16+E17</f>
        <v>165</v>
      </c>
    </row>
    <row r="19" spans="1:5" ht="27" customHeight="1">
      <c r="A19" s="555">
        <v>56111</v>
      </c>
      <c r="B19" s="556" t="s">
        <v>1399</v>
      </c>
      <c r="C19" s="556"/>
      <c r="D19" s="556"/>
      <c r="E19" s="557">
        <f>E18*0.27</f>
        <v>44.550000000000004</v>
      </c>
    </row>
    <row r="20" spans="1:5" ht="27" customHeight="1">
      <c r="A20" s="553">
        <v>56211</v>
      </c>
      <c r="B20" s="553" t="s">
        <v>1400</v>
      </c>
      <c r="C20" s="553"/>
      <c r="D20" s="427"/>
      <c r="E20" s="427">
        <v>15</v>
      </c>
    </row>
    <row r="21" spans="1:5" ht="27" customHeight="1">
      <c r="A21" s="553">
        <v>56319</v>
      </c>
      <c r="B21" s="554" t="s">
        <v>2086</v>
      </c>
      <c r="C21" s="427"/>
      <c r="D21" s="427"/>
      <c r="E21" s="427">
        <v>25</v>
      </c>
    </row>
    <row r="22" spans="1:5" ht="27" customHeight="1" thickBot="1">
      <c r="A22" s="560" t="s">
        <v>1398</v>
      </c>
      <c r="B22" s="560"/>
      <c r="C22" s="560"/>
      <c r="D22" s="560"/>
      <c r="E22" s="561">
        <f>+E19+E20+E21</f>
        <v>84.55000000000001</v>
      </c>
    </row>
    <row r="23" spans="1:5" ht="27" customHeight="1" thickBot="1">
      <c r="A23" s="2537" t="s">
        <v>1372</v>
      </c>
      <c r="B23" s="2538"/>
      <c r="C23" s="2538"/>
      <c r="D23" s="2538"/>
      <c r="E23" s="562">
        <f>+E13+E18+E22</f>
        <v>249.55</v>
      </c>
    </row>
    <row r="24" spans="1:5" ht="27" customHeight="1">
      <c r="A24" s="395"/>
      <c r="B24" s="395"/>
      <c r="C24" s="395">
        <v>1.25</v>
      </c>
      <c r="D24" s="395"/>
      <c r="E24" s="396"/>
    </row>
    <row r="25" spans="1:5" ht="27" customHeight="1">
      <c r="A25" s="2536" t="s">
        <v>215</v>
      </c>
      <c r="B25" s="2536"/>
      <c r="C25" s="2536"/>
      <c r="D25" s="2536"/>
      <c r="E25" s="2536"/>
    </row>
    <row r="26" spans="1:5" ht="27" customHeight="1">
      <c r="A26" s="128"/>
      <c r="B26" s="128"/>
      <c r="C26" s="128"/>
      <c r="D26" s="128"/>
      <c r="E26" s="128"/>
    </row>
    <row r="27" spans="1:5" ht="27" customHeight="1">
      <c r="A27" s="2521" t="s">
        <v>1368</v>
      </c>
      <c r="B27" s="2521"/>
      <c r="C27" s="2521"/>
      <c r="D27" s="2521"/>
      <c r="E27" s="314"/>
    </row>
    <row r="28" spans="1:5" ht="27" customHeight="1">
      <c r="A28" s="128"/>
      <c r="B28" s="128"/>
      <c r="C28" s="128"/>
      <c r="D28" s="128"/>
      <c r="E28" s="128"/>
    </row>
    <row r="29" spans="1:5" ht="27" customHeight="1">
      <c r="A29" s="2536" t="s">
        <v>185</v>
      </c>
      <c r="B29" s="2536"/>
      <c r="C29" s="2536"/>
      <c r="D29" s="2536"/>
      <c r="E29" s="2536"/>
    </row>
    <row r="30" spans="1:5" ht="27" customHeight="1">
      <c r="A30" s="128"/>
      <c r="B30" s="128"/>
      <c r="C30" s="128"/>
      <c r="D30" s="128"/>
      <c r="E30" s="128"/>
    </row>
    <row r="31" spans="1:5" ht="27" customHeight="1">
      <c r="A31" s="2521" t="s">
        <v>186</v>
      </c>
      <c r="B31" s="2521"/>
      <c r="C31" s="2521"/>
      <c r="D31" s="2521"/>
      <c r="E31" s="314"/>
    </row>
    <row r="32" spans="1:5" ht="27" customHeight="1">
      <c r="A32" s="128"/>
      <c r="B32" s="128"/>
      <c r="C32" s="128"/>
      <c r="D32" s="128"/>
      <c r="E32" s="128"/>
    </row>
    <row r="33" spans="1:5" ht="27" customHeight="1">
      <c r="A33" s="2519" t="s">
        <v>1375</v>
      </c>
      <c r="B33" s="2519"/>
      <c r="C33" s="2519"/>
      <c r="D33" s="2519"/>
      <c r="E33" s="319">
        <f>+E31+E27+E23</f>
        <v>249.55</v>
      </c>
    </row>
  </sheetData>
  <sheetProtection/>
  <mergeCells count="10">
    <mergeCell ref="A33:D33"/>
    <mergeCell ref="A31:D31"/>
    <mergeCell ref="A7:E7"/>
    <mergeCell ref="A4:E4"/>
    <mergeCell ref="A5:E5"/>
    <mergeCell ref="A9:E9"/>
    <mergeCell ref="A23:D23"/>
    <mergeCell ref="A25:E25"/>
    <mergeCell ref="A27:D27"/>
    <mergeCell ref="A29:E29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P39"/>
  <sheetViews>
    <sheetView view="pageBreakPreview" zoomScale="80" zoomScaleNormal="85" zoomScaleSheetLayoutView="80" zoomScalePageLayoutView="0" workbookViewId="0" topLeftCell="A1">
      <selection activeCell="V4" sqref="V4"/>
    </sheetView>
  </sheetViews>
  <sheetFormatPr defaultColWidth="9.140625" defaultRowHeight="12.75"/>
  <cols>
    <col min="1" max="1" width="33.421875" style="0" customWidth="1"/>
    <col min="2" max="2" width="13.421875" style="0" customWidth="1"/>
    <col min="3" max="5" width="12.421875" style="0" customWidth="1"/>
    <col min="6" max="6" width="11.57421875" style="0" customWidth="1"/>
    <col min="7" max="7" width="11.8515625" style="0" customWidth="1"/>
    <col min="8" max="8" width="12.421875" style="0" customWidth="1"/>
    <col min="9" max="9" width="14.7109375" style="0" customWidth="1"/>
    <col min="10" max="13" width="11.8515625" style="0" customWidth="1"/>
    <col min="14" max="14" width="11.28125" style="0" customWidth="1"/>
    <col min="15" max="17" width="10.7109375" style="0" customWidth="1"/>
    <col min="18" max="18" width="12.00390625" style="0" customWidth="1"/>
    <col min="19" max="21" width="11.28125" style="0" customWidth="1"/>
    <col min="22" max="22" width="11.140625" style="0" customWidth="1"/>
    <col min="23" max="25" width="11.28125" style="0" customWidth="1"/>
    <col min="26" max="26" width="9.7109375" style="0" customWidth="1"/>
    <col min="27" max="29" width="11.8515625" style="0" customWidth="1"/>
    <col min="30" max="30" width="8.57421875" style="0" customWidth="1"/>
    <col min="31" max="31" width="7.140625" style="0" customWidth="1"/>
    <col min="32" max="32" width="10.00390625" style="0" customWidth="1"/>
    <col min="33" max="33" width="8.7109375" style="0" customWidth="1"/>
    <col min="34" max="34" width="15.140625" style="0" customWidth="1"/>
    <col min="35" max="36" width="9.421875" style="0" customWidth="1"/>
    <col min="37" max="37" width="10.57421875" style="0" customWidth="1"/>
    <col min="38" max="38" width="8.57421875" style="0" customWidth="1"/>
    <col min="39" max="39" width="9.8515625" style="0" customWidth="1"/>
  </cols>
  <sheetData>
    <row r="1" spans="19:41" ht="12.75">
      <c r="S1" s="2387" t="s">
        <v>2101</v>
      </c>
      <c r="T1" s="2387"/>
      <c r="U1" s="2387"/>
      <c r="AH1" s="1987"/>
      <c r="AI1" s="1987"/>
      <c r="AJ1" s="1987"/>
      <c r="AK1" s="1987"/>
      <c r="AL1" s="1987"/>
      <c r="AM1" s="2387" t="s">
        <v>2102</v>
      </c>
      <c r="AN1" s="2387"/>
      <c r="AO1" s="2387"/>
    </row>
    <row r="2" spans="1:42" ht="12.75">
      <c r="A2" s="2419" t="s">
        <v>1345</v>
      </c>
      <c r="B2" s="2419"/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  <c r="N2" s="2419"/>
      <c r="O2" s="2419"/>
      <c r="P2" s="2419"/>
      <c r="Q2" s="2419"/>
      <c r="R2" s="2419"/>
      <c r="S2" s="2419"/>
      <c r="T2" s="2419"/>
      <c r="U2" s="2419"/>
      <c r="V2" s="2419" t="s">
        <v>1345</v>
      </c>
      <c r="W2" s="2419"/>
      <c r="X2" s="2419"/>
      <c r="Y2" s="2419"/>
      <c r="Z2" s="2419"/>
      <c r="AA2" s="2419"/>
      <c r="AB2" s="2419"/>
      <c r="AC2" s="2419"/>
      <c r="AD2" s="2419"/>
      <c r="AE2" s="2419"/>
      <c r="AF2" s="2419"/>
      <c r="AG2" s="2419"/>
      <c r="AH2" s="2419"/>
      <c r="AI2" s="2419"/>
      <c r="AJ2" s="2419"/>
      <c r="AK2" s="2419"/>
      <c r="AL2" s="2419"/>
      <c r="AM2" s="2419"/>
      <c r="AN2" s="2419"/>
      <c r="AO2" s="2419"/>
      <c r="AP2" s="2419"/>
    </row>
    <row r="3" spans="1:41" ht="42" customHeight="1">
      <c r="A3" s="2421" t="s">
        <v>1667</v>
      </c>
      <c r="B3" s="2421"/>
      <c r="C3" s="2421"/>
      <c r="D3" s="2421"/>
      <c r="E3" s="2421"/>
      <c r="F3" s="2421"/>
      <c r="G3" s="2421"/>
      <c r="H3" s="2421"/>
      <c r="I3" s="2421"/>
      <c r="J3" s="2421"/>
      <c r="K3" s="2421"/>
      <c r="L3" s="2421"/>
      <c r="M3" s="2421"/>
      <c r="N3" s="2421"/>
      <c r="O3" s="2421"/>
      <c r="P3" s="2421"/>
      <c r="Q3" s="2421"/>
      <c r="R3" s="2421"/>
      <c r="S3" s="2421"/>
      <c r="T3" s="2421"/>
      <c r="U3" s="2421"/>
      <c r="V3" s="2421" t="s">
        <v>1667</v>
      </c>
      <c r="W3" s="2421"/>
      <c r="X3" s="2421"/>
      <c r="Y3" s="2421"/>
      <c r="Z3" s="2421"/>
      <c r="AA3" s="2421"/>
      <c r="AB3" s="2421"/>
      <c r="AC3" s="2421"/>
      <c r="AD3" s="2421"/>
      <c r="AE3" s="2421"/>
      <c r="AF3" s="2421"/>
      <c r="AG3" s="2421"/>
      <c r="AH3" s="2421"/>
      <c r="AI3" s="2421"/>
      <c r="AJ3" s="2421"/>
      <c r="AK3" s="2421"/>
      <c r="AL3" s="2421"/>
      <c r="AM3" s="2421"/>
      <c r="AN3" s="2421"/>
      <c r="AO3" s="2421"/>
    </row>
    <row r="4" spans="1:38" ht="1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2396" t="s">
        <v>1371</v>
      </c>
      <c r="AI4" s="2396"/>
      <c r="AJ4" s="2396"/>
      <c r="AK4" s="2396"/>
      <c r="AL4" s="2396"/>
    </row>
    <row r="5" spans="1:41" ht="12.75">
      <c r="A5" s="2347" t="s">
        <v>1970</v>
      </c>
      <c r="B5" s="2370" t="s">
        <v>242</v>
      </c>
      <c r="C5" s="2357"/>
      <c r="D5" s="2357"/>
      <c r="E5" s="2358"/>
      <c r="F5" s="2370" t="s">
        <v>1414</v>
      </c>
      <c r="G5" s="2357"/>
      <c r="H5" s="2357"/>
      <c r="I5" s="2358"/>
      <c r="J5" s="2370" t="s">
        <v>1427</v>
      </c>
      <c r="K5" s="2357"/>
      <c r="L5" s="2357"/>
      <c r="M5" s="2358"/>
      <c r="N5" s="2370" t="s">
        <v>1416</v>
      </c>
      <c r="O5" s="2357"/>
      <c r="P5" s="2357"/>
      <c r="Q5" s="2358"/>
      <c r="R5" s="2353" t="s">
        <v>1183</v>
      </c>
      <c r="S5" s="2354"/>
      <c r="T5" s="2354"/>
      <c r="U5" s="2354"/>
      <c r="V5" s="2353" t="s">
        <v>1183</v>
      </c>
      <c r="W5" s="2354"/>
      <c r="X5" s="2354"/>
      <c r="Y5" s="2354"/>
      <c r="Z5" s="2370" t="s">
        <v>1236</v>
      </c>
      <c r="AA5" s="2357"/>
      <c r="AB5" s="2357"/>
      <c r="AC5" s="2358"/>
      <c r="AD5" s="2370" t="s">
        <v>1422</v>
      </c>
      <c r="AE5" s="2357"/>
      <c r="AF5" s="2357"/>
      <c r="AG5" s="2358"/>
      <c r="AH5" s="2370" t="s">
        <v>1430</v>
      </c>
      <c r="AI5" s="2357"/>
      <c r="AJ5" s="2357"/>
      <c r="AK5" s="2358"/>
      <c r="AL5" s="2370" t="s">
        <v>1413</v>
      </c>
      <c r="AM5" s="2357"/>
      <c r="AN5" s="2357"/>
      <c r="AO5" s="2358"/>
    </row>
    <row r="6" spans="1:41" ht="27" customHeight="1">
      <c r="A6" s="2347"/>
      <c r="B6" s="2359"/>
      <c r="C6" s="2360"/>
      <c r="D6" s="2360"/>
      <c r="E6" s="2352"/>
      <c r="F6" s="2359"/>
      <c r="G6" s="2360"/>
      <c r="H6" s="2360"/>
      <c r="I6" s="2352"/>
      <c r="J6" s="2359"/>
      <c r="K6" s="2360"/>
      <c r="L6" s="2360"/>
      <c r="M6" s="2352"/>
      <c r="N6" s="2359"/>
      <c r="O6" s="2360"/>
      <c r="P6" s="2360"/>
      <c r="Q6" s="2352"/>
      <c r="R6" s="2349" t="s">
        <v>243</v>
      </c>
      <c r="S6" s="2350"/>
      <c r="T6" s="2350"/>
      <c r="U6" s="2351"/>
      <c r="V6" s="2416" t="s">
        <v>1560</v>
      </c>
      <c r="W6" s="2417"/>
      <c r="X6" s="2417"/>
      <c r="Y6" s="2418"/>
      <c r="Z6" s="2359"/>
      <c r="AA6" s="2360"/>
      <c r="AB6" s="2360"/>
      <c r="AC6" s="2352"/>
      <c r="AD6" s="2359"/>
      <c r="AE6" s="2360"/>
      <c r="AF6" s="2360"/>
      <c r="AG6" s="2352"/>
      <c r="AH6" s="2359"/>
      <c r="AI6" s="2360"/>
      <c r="AJ6" s="2360"/>
      <c r="AK6" s="2352"/>
      <c r="AL6" s="2359"/>
      <c r="AM6" s="2360"/>
      <c r="AN6" s="2360"/>
      <c r="AO6" s="2352"/>
    </row>
    <row r="7" spans="1:41" ht="12.75">
      <c r="A7" s="2347"/>
      <c r="B7" s="198" t="s">
        <v>1415</v>
      </c>
      <c r="C7" s="198" t="s">
        <v>1538</v>
      </c>
      <c r="D7" s="198" t="s">
        <v>822</v>
      </c>
      <c r="E7" s="198" t="s">
        <v>1353</v>
      </c>
      <c r="F7" s="198" t="s">
        <v>1415</v>
      </c>
      <c r="G7" s="198" t="s">
        <v>1538</v>
      </c>
      <c r="H7" s="198" t="s">
        <v>822</v>
      </c>
      <c r="I7" s="198" t="s">
        <v>1353</v>
      </c>
      <c r="J7" s="198" t="s">
        <v>1415</v>
      </c>
      <c r="K7" s="198" t="s">
        <v>1538</v>
      </c>
      <c r="L7" s="198" t="s">
        <v>822</v>
      </c>
      <c r="M7" s="198" t="s">
        <v>1353</v>
      </c>
      <c r="N7" s="198" t="s">
        <v>1415</v>
      </c>
      <c r="O7" s="198" t="s">
        <v>1538</v>
      </c>
      <c r="P7" s="198" t="s">
        <v>822</v>
      </c>
      <c r="Q7" s="198" t="s">
        <v>1353</v>
      </c>
      <c r="R7" s="198" t="s">
        <v>1415</v>
      </c>
      <c r="S7" s="198" t="s">
        <v>1538</v>
      </c>
      <c r="T7" s="198" t="s">
        <v>822</v>
      </c>
      <c r="U7" s="198" t="s">
        <v>1353</v>
      </c>
      <c r="V7" s="198" t="s">
        <v>1415</v>
      </c>
      <c r="W7" s="198" t="s">
        <v>1538</v>
      </c>
      <c r="X7" s="198" t="s">
        <v>822</v>
      </c>
      <c r="Y7" s="198" t="s">
        <v>1353</v>
      </c>
      <c r="Z7" s="198" t="s">
        <v>1415</v>
      </c>
      <c r="AA7" s="198" t="s">
        <v>1538</v>
      </c>
      <c r="AB7" s="198" t="s">
        <v>822</v>
      </c>
      <c r="AC7" s="198" t="s">
        <v>1353</v>
      </c>
      <c r="AD7" s="198" t="s">
        <v>1415</v>
      </c>
      <c r="AE7" s="198" t="s">
        <v>1538</v>
      </c>
      <c r="AF7" s="198" t="s">
        <v>822</v>
      </c>
      <c r="AG7" s="198" t="s">
        <v>1353</v>
      </c>
      <c r="AH7" s="198" t="s">
        <v>1415</v>
      </c>
      <c r="AI7" s="198" t="s">
        <v>1538</v>
      </c>
      <c r="AJ7" s="198" t="s">
        <v>822</v>
      </c>
      <c r="AK7" s="198" t="s">
        <v>1353</v>
      </c>
      <c r="AL7" s="198" t="s">
        <v>173</v>
      </c>
      <c r="AM7" s="914" t="s">
        <v>1561</v>
      </c>
      <c r="AN7" s="914" t="s">
        <v>822</v>
      </c>
      <c r="AO7" s="914" t="s">
        <v>1353</v>
      </c>
    </row>
    <row r="8" spans="1:41" ht="12.75">
      <c r="A8" s="2355" t="s">
        <v>1562</v>
      </c>
      <c r="B8" s="2356"/>
      <c r="C8" s="2356"/>
      <c r="D8" s="2356"/>
      <c r="E8" s="2356"/>
      <c r="F8" s="2356"/>
      <c r="G8" s="2356"/>
      <c r="H8" s="2356"/>
      <c r="I8" s="2356"/>
      <c r="J8" s="2356"/>
      <c r="K8" s="2356"/>
      <c r="L8" s="2356"/>
      <c r="M8" s="2356"/>
      <c r="N8" s="2356"/>
      <c r="O8" s="2356"/>
      <c r="P8" s="2356"/>
      <c r="Q8" s="2356"/>
      <c r="R8" s="2356"/>
      <c r="S8" s="2356"/>
      <c r="T8" s="2356"/>
      <c r="U8" s="2356"/>
      <c r="V8" s="2356"/>
      <c r="W8" s="2356"/>
      <c r="X8" s="2356"/>
      <c r="Y8" s="2356"/>
      <c r="Z8" s="2356"/>
      <c r="AA8" s="2356"/>
      <c r="AB8" s="2356"/>
      <c r="AC8" s="2356"/>
      <c r="AD8" s="2356"/>
      <c r="AE8" s="2356"/>
      <c r="AF8" s="2356"/>
      <c r="AG8" s="2356"/>
      <c r="AH8" s="2356"/>
      <c r="AI8" s="2356"/>
      <c r="AJ8" s="2356"/>
      <c r="AK8" s="2356"/>
      <c r="AL8" s="2356"/>
      <c r="AM8" s="2356"/>
      <c r="AN8" s="2356"/>
      <c r="AO8" s="2356"/>
    </row>
    <row r="9" spans="1:41" ht="4.5" customHeight="1">
      <c r="A9" s="2355"/>
      <c r="B9" s="2356"/>
      <c r="C9" s="2356"/>
      <c r="D9" s="2356"/>
      <c r="E9" s="2356"/>
      <c r="F9" s="2356"/>
      <c r="G9" s="2356"/>
      <c r="H9" s="2356"/>
      <c r="I9" s="2356"/>
      <c r="J9" s="2356"/>
      <c r="K9" s="2356"/>
      <c r="L9" s="2356"/>
      <c r="M9" s="2356"/>
      <c r="N9" s="2356"/>
      <c r="O9" s="2356"/>
      <c r="P9" s="2356"/>
      <c r="Q9" s="2356"/>
      <c r="R9" s="2356"/>
      <c r="S9" s="2356"/>
      <c r="T9" s="2356"/>
      <c r="U9" s="2356"/>
      <c r="V9" s="2356"/>
      <c r="W9" s="2356"/>
      <c r="X9" s="2356"/>
      <c r="Y9" s="2356"/>
      <c r="Z9" s="2356"/>
      <c r="AA9" s="2356"/>
      <c r="AB9" s="2356"/>
      <c r="AC9" s="2356"/>
      <c r="AD9" s="2356"/>
      <c r="AE9" s="2356"/>
      <c r="AF9" s="2356"/>
      <c r="AG9" s="2356"/>
      <c r="AH9" s="2356"/>
      <c r="AI9" s="2356"/>
      <c r="AJ9" s="2356"/>
      <c r="AK9" s="2356"/>
      <c r="AL9" s="2356"/>
      <c r="AM9" s="2356"/>
      <c r="AN9" s="2356"/>
      <c r="AO9" s="2356"/>
    </row>
    <row r="10" spans="1:41" ht="25.5">
      <c r="A10" s="2005" t="s">
        <v>23</v>
      </c>
      <c r="B10" s="201">
        <f>'841126-116-Önk. igazgatás'!E49+'841133-adó beszedése'!E20</f>
        <v>89560.8</v>
      </c>
      <c r="C10" s="201">
        <f>89561+2877.7+423.4</f>
        <v>92862.09999999999</v>
      </c>
      <c r="D10" s="201">
        <v>89889</v>
      </c>
      <c r="E10" s="2042">
        <f aca="true" t="shared" si="0" ref="E10:E17">D10/C10</f>
        <v>0.9679837091773718</v>
      </c>
      <c r="F10" s="201">
        <f>'841126-116-Önk. igazgatás'!E52+'841133-adó beszedése'!E24</f>
        <v>22568.976000000002</v>
      </c>
      <c r="G10" s="201">
        <f>22569+777+114</f>
        <v>23460</v>
      </c>
      <c r="H10" s="201">
        <v>22929</v>
      </c>
      <c r="I10" s="2042">
        <f aca="true" t="shared" si="1" ref="I10:I17">H10/G10</f>
        <v>0.9773657289002557</v>
      </c>
      <c r="J10" s="48">
        <f>'841126-116-Önk. igazgatás'!E137+'841133-adó beszedése'!E30</f>
        <v>43500.23</v>
      </c>
      <c r="K10" s="48">
        <v>43500</v>
      </c>
      <c r="L10" s="48">
        <v>15625</v>
      </c>
      <c r="M10" s="2045">
        <f>L10/K10</f>
        <v>0.35919540229885055</v>
      </c>
      <c r="N10" s="48"/>
      <c r="O10" s="48"/>
      <c r="P10" s="48"/>
      <c r="Q10" s="2045"/>
      <c r="R10" s="48"/>
      <c r="S10" s="48"/>
      <c r="T10" s="48">
        <v>618</v>
      </c>
      <c r="U10" s="2045">
        <v>0</v>
      </c>
      <c r="V10" s="48"/>
      <c r="W10" s="48"/>
      <c r="X10" s="48"/>
      <c r="Y10" s="48"/>
      <c r="Z10" s="48"/>
      <c r="AA10" s="48"/>
      <c r="AB10" s="48"/>
      <c r="AC10" s="48"/>
      <c r="AD10" s="342"/>
      <c r="AE10" s="342"/>
      <c r="AF10" s="342"/>
      <c r="AG10" s="342"/>
      <c r="AH10" s="342">
        <f aca="true" t="shared" si="2" ref="AH10:AH37">B10+F10+J10+N10+R10+V10+Z10+AD10</f>
        <v>155630.00600000002</v>
      </c>
      <c r="AI10" s="342">
        <f>+C10+G10+K10+O10+S10+W10+AA10+AE10</f>
        <v>159822.09999999998</v>
      </c>
      <c r="AJ10" s="342">
        <f>+D10+H10+L10+P10+T10+X10+AB10+AF10</f>
        <v>129061</v>
      </c>
      <c r="AK10" s="2284">
        <f>AJ10/AI10</f>
        <v>0.8075291214419034</v>
      </c>
      <c r="AL10" s="2173">
        <v>33</v>
      </c>
      <c r="AM10" s="2173">
        <v>33</v>
      </c>
      <c r="AN10" s="2173">
        <v>31</v>
      </c>
      <c r="AO10" s="2047">
        <f>AN10/AM10</f>
        <v>0.9393939393939394</v>
      </c>
    </row>
    <row r="11" spans="1:41" ht="12.75">
      <c r="A11" s="2006" t="s">
        <v>175</v>
      </c>
      <c r="B11" s="201">
        <f>'841124-114-Gyámhivatal'!E25</f>
        <v>10162</v>
      </c>
      <c r="C11" s="201">
        <f>10162+480.3</f>
        <v>10642.3</v>
      </c>
      <c r="D11" s="201">
        <v>12699</v>
      </c>
      <c r="E11" s="2042">
        <f t="shared" si="0"/>
        <v>1.193257096680229</v>
      </c>
      <c r="F11" s="201">
        <f>'841124-114-Gyámhivatal'!E32</f>
        <v>2622.2400000000002</v>
      </c>
      <c r="G11" s="201">
        <f>2622+130</f>
        <v>2752</v>
      </c>
      <c r="H11" s="201">
        <v>3400</v>
      </c>
      <c r="I11" s="2042">
        <f t="shared" si="1"/>
        <v>1.2354651162790697</v>
      </c>
      <c r="J11" s="48">
        <f>'841124-114-Gyámhivatal'!E42</f>
        <v>525.23</v>
      </c>
      <c r="K11" s="48">
        <v>525</v>
      </c>
      <c r="L11" s="48">
        <v>404</v>
      </c>
      <c r="M11" s="2045">
        <f aca="true" t="shared" si="3" ref="M11:M37">L11/K11</f>
        <v>0.7695238095238095</v>
      </c>
      <c r="N11" s="48"/>
      <c r="O11" s="48"/>
      <c r="P11" s="48"/>
      <c r="Q11" s="2045"/>
      <c r="R11" s="48"/>
      <c r="S11" s="48"/>
      <c r="T11" s="48"/>
      <c r="U11" s="2045"/>
      <c r="V11" s="48"/>
      <c r="W11" s="48"/>
      <c r="X11" s="48"/>
      <c r="Y11" s="48"/>
      <c r="Z11" s="48"/>
      <c r="AA11" s="48"/>
      <c r="AB11" s="48"/>
      <c r="AC11" s="48"/>
      <c r="AD11" s="202"/>
      <c r="AE11" s="203"/>
      <c r="AF11" s="203"/>
      <c r="AG11" s="203"/>
      <c r="AH11" s="204">
        <f t="shared" si="2"/>
        <v>13309.47</v>
      </c>
      <c r="AI11" s="204">
        <f>+C11+G11+K11+O11+S11+W11+AA11+AE11</f>
        <v>13919.3</v>
      </c>
      <c r="AJ11" s="342">
        <f>+D11+H11+L11+P11+T11+X11+AB11+AF11</f>
        <v>16503</v>
      </c>
      <c r="AK11" s="2047">
        <f aca="true" t="shared" si="4" ref="AK11:AK39">AJ11/AI11</f>
        <v>1.185619966521305</v>
      </c>
      <c r="AL11" s="205">
        <v>6</v>
      </c>
      <c r="AM11" s="205">
        <v>6</v>
      </c>
      <c r="AN11" s="205">
        <v>6</v>
      </c>
      <c r="AO11" s="2047">
        <f>AN11/AM11</f>
        <v>1</v>
      </c>
    </row>
    <row r="12" spans="1:41" ht="12.75">
      <c r="A12" s="2006" t="s">
        <v>1563</v>
      </c>
      <c r="B12" s="201">
        <f>'841125-115-Elsőfokú ép. hatóság'!E26</f>
        <v>4388</v>
      </c>
      <c r="C12" s="201">
        <f>4388+278.8</f>
        <v>4666.8</v>
      </c>
      <c r="D12" s="201">
        <v>5081</v>
      </c>
      <c r="E12" s="2042">
        <f t="shared" si="0"/>
        <v>1.0887546070112282</v>
      </c>
      <c r="F12" s="201">
        <f>'841125-115-Elsőfokú ép. hatóság'!E31</f>
        <v>1050.3000000000002</v>
      </c>
      <c r="G12" s="201">
        <f>1050+75</f>
        <v>1125</v>
      </c>
      <c r="H12" s="201">
        <v>1200</v>
      </c>
      <c r="I12" s="2042">
        <f t="shared" si="1"/>
        <v>1.0666666666666667</v>
      </c>
      <c r="J12" s="48">
        <f>'841125-115-Elsőfokú ép. hatóság'!E38</f>
        <v>472.82</v>
      </c>
      <c r="K12" s="48">
        <v>473</v>
      </c>
      <c r="L12" s="48">
        <v>51</v>
      </c>
      <c r="M12" s="2045">
        <f t="shared" si="3"/>
        <v>0.10782241014799154</v>
      </c>
      <c r="N12" s="48"/>
      <c r="O12" s="48"/>
      <c r="P12" s="48"/>
      <c r="Q12" s="2045"/>
      <c r="R12" s="48"/>
      <c r="S12" s="48"/>
      <c r="T12" s="48"/>
      <c r="U12" s="2045"/>
      <c r="V12" s="48"/>
      <c r="W12" s="204"/>
      <c r="X12" s="204"/>
      <c r="Y12" s="204"/>
      <c r="Z12" s="204"/>
      <c r="AA12" s="204"/>
      <c r="AB12" s="204"/>
      <c r="AC12" s="204"/>
      <c r="AD12" s="203"/>
      <c r="AE12" s="203"/>
      <c r="AF12" s="203"/>
      <c r="AG12" s="203"/>
      <c r="AH12" s="204">
        <f t="shared" si="2"/>
        <v>5911.12</v>
      </c>
      <c r="AI12" s="204">
        <f>C12+G12+K12+O12+S12+W12+AA12+AE12</f>
        <v>6264.8</v>
      </c>
      <c r="AJ12" s="342">
        <f>+D12+H12+L12+P12+T12+X12+AB12+AF12</f>
        <v>6332</v>
      </c>
      <c r="AK12" s="2047">
        <f t="shared" si="4"/>
        <v>1.010726599412591</v>
      </c>
      <c r="AL12" s="205">
        <v>2</v>
      </c>
      <c r="AM12" s="205">
        <v>2</v>
      </c>
      <c r="AN12" s="205">
        <v>2</v>
      </c>
      <c r="AO12" s="2047">
        <f>AN12/AM12</f>
        <v>1</v>
      </c>
    </row>
    <row r="13" spans="1:41" ht="12.75">
      <c r="A13" s="2006" t="s">
        <v>1564</v>
      </c>
      <c r="B13" s="201">
        <f>'841112-117-Képviselőtestület'!E12</f>
        <v>3780</v>
      </c>
      <c r="C13" s="201">
        <v>3780</v>
      </c>
      <c r="D13" s="201">
        <v>3411</v>
      </c>
      <c r="E13" s="2042">
        <f t="shared" si="0"/>
        <v>0.9023809523809524</v>
      </c>
      <c r="F13" s="201">
        <f>'841112-117-Képviselőtestület'!E18</f>
        <v>1020.6</v>
      </c>
      <c r="G13" s="201">
        <v>1021</v>
      </c>
      <c r="H13" s="201">
        <v>471</v>
      </c>
      <c r="I13" s="2042">
        <f t="shared" si="1"/>
        <v>0.46131243878550443</v>
      </c>
      <c r="J13" s="48">
        <f>'841112-117-Képviselőtestület'!E41-120</f>
        <v>4778</v>
      </c>
      <c r="K13" s="48">
        <v>4778</v>
      </c>
      <c r="L13" s="48">
        <v>198</v>
      </c>
      <c r="M13" s="2045">
        <f t="shared" si="3"/>
        <v>0.04143993302637087</v>
      </c>
      <c r="N13" s="48"/>
      <c r="O13" s="48"/>
      <c r="P13" s="48"/>
      <c r="Q13" s="2045"/>
      <c r="R13" s="48"/>
      <c r="S13" s="48"/>
      <c r="T13" s="48"/>
      <c r="U13" s="2045"/>
      <c r="V13" s="48"/>
      <c r="W13" s="204"/>
      <c r="X13" s="204"/>
      <c r="Y13" s="204"/>
      <c r="Z13" s="204"/>
      <c r="AA13" s="204"/>
      <c r="AB13" s="204"/>
      <c r="AC13" s="204"/>
      <c r="AD13" s="203"/>
      <c r="AE13" s="203"/>
      <c r="AF13" s="203"/>
      <c r="AG13" s="203"/>
      <c r="AH13" s="204">
        <f t="shared" si="2"/>
        <v>9578.6</v>
      </c>
      <c r="AI13" s="204">
        <f>C13+G13+K13+O13+S13+W13+AA13+AE13</f>
        <v>9579</v>
      </c>
      <c r="AJ13" s="342">
        <f>+D13+H13+L13+P13+T13+X13+AB13+AF13</f>
        <v>4080</v>
      </c>
      <c r="AK13" s="2047">
        <f t="shared" si="4"/>
        <v>0.4259317256498591</v>
      </c>
      <c r="AL13" s="205"/>
      <c r="AM13" s="205"/>
      <c r="AN13" s="205"/>
      <c r="AO13" s="2047"/>
    </row>
    <row r="14" spans="1:41" ht="12.75">
      <c r="A14" s="172" t="s">
        <v>1565</v>
      </c>
      <c r="B14" s="201">
        <f>'841126-166-Többc.munk.sz.'!E17</f>
        <v>13717</v>
      </c>
      <c r="C14" s="201">
        <v>13717</v>
      </c>
      <c r="D14" s="201">
        <v>10375</v>
      </c>
      <c r="E14" s="2042">
        <f t="shared" si="0"/>
        <v>0.7563607202741124</v>
      </c>
      <c r="F14" s="201">
        <f>'841126-166-Többc.munk.sz.'!E20</f>
        <v>3431</v>
      </c>
      <c r="G14" s="201">
        <v>3431</v>
      </c>
      <c r="H14" s="201">
        <v>2840</v>
      </c>
      <c r="I14" s="2042">
        <f t="shared" si="1"/>
        <v>0.8277470125327893</v>
      </c>
      <c r="J14" s="48">
        <f>'841126-166-Többc.munk.sz.'!E35</f>
        <v>2055</v>
      </c>
      <c r="K14" s="48">
        <v>2055</v>
      </c>
      <c r="L14" s="48">
        <v>2807</v>
      </c>
      <c r="M14" s="2045">
        <f t="shared" si="3"/>
        <v>1.3659367396593673</v>
      </c>
      <c r="N14" s="48"/>
      <c r="O14" s="48"/>
      <c r="P14" s="48"/>
      <c r="Q14" s="2045"/>
      <c r="R14" s="48"/>
      <c r="S14" s="48"/>
      <c r="T14" s="48"/>
      <c r="U14" s="2045"/>
      <c r="V14" s="48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>
        <f t="shared" si="2"/>
        <v>19203</v>
      </c>
      <c r="AI14" s="204">
        <f>+C14+G14+K14+O14+S14+W14+AA14+AE14</f>
        <v>19203</v>
      </c>
      <c r="AJ14" s="342">
        <f>+D14+H14+L14+P14+T14+X14+AB14+AF14</f>
        <v>16022</v>
      </c>
      <c r="AK14" s="2047">
        <f t="shared" si="4"/>
        <v>0.8343487996667187</v>
      </c>
      <c r="AL14" s="205">
        <v>6</v>
      </c>
      <c r="AM14" s="205">
        <v>6</v>
      </c>
      <c r="AN14" s="205">
        <v>6</v>
      </c>
      <c r="AO14" s="2047">
        <f>AN14/AM14</f>
        <v>1</v>
      </c>
    </row>
    <row r="15" spans="1:41" ht="12.75">
      <c r="A15" s="256" t="s">
        <v>2257</v>
      </c>
      <c r="B15" s="207">
        <f>SUM(B10:B14)</f>
        <v>121607.8</v>
      </c>
      <c r="C15" s="207">
        <f>SUM(C10:C14)</f>
        <v>125668.2</v>
      </c>
      <c r="D15" s="207">
        <f>SUM(D10:D14)</f>
        <v>121455</v>
      </c>
      <c r="E15" s="2043">
        <f t="shared" si="0"/>
        <v>0.966473618624282</v>
      </c>
      <c r="F15" s="207">
        <f>SUM(F10:F14)</f>
        <v>30693.116</v>
      </c>
      <c r="G15" s="207">
        <f>SUM(G10:G14)</f>
        <v>31789</v>
      </c>
      <c r="H15" s="207">
        <f>SUM(H10:H14)</f>
        <v>30840</v>
      </c>
      <c r="I15" s="2042">
        <f t="shared" si="1"/>
        <v>0.9701469061625091</v>
      </c>
      <c r="J15" s="213">
        <f>SUM(J10:J14)</f>
        <v>51331.280000000006</v>
      </c>
      <c r="K15" s="213">
        <f>SUM(K10:K14)</f>
        <v>51331</v>
      </c>
      <c r="L15" s="213">
        <f>SUM(L10:L14)</f>
        <v>19085</v>
      </c>
      <c r="M15" s="2045">
        <f t="shared" si="3"/>
        <v>0.37180261440455087</v>
      </c>
      <c r="N15" s="48">
        <f>SUM(N10:N14)</f>
        <v>0</v>
      </c>
      <c r="O15" s="48">
        <f aca="true" t="shared" si="5" ref="O15:T15">SUM(O10:O14)</f>
        <v>0</v>
      </c>
      <c r="P15" s="48">
        <f t="shared" si="5"/>
        <v>0</v>
      </c>
      <c r="Q15" s="48">
        <f t="shared" si="5"/>
        <v>0</v>
      </c>
      <c r="R15" s="48">
        <f t="shared" si="5"/>
        <v>0</v>
      </c>
      <c r="S15" s="48">
        <f t="shared" si="5"/>
        <v>0</v>
      </c>
      <c r="T15" s="213">
        <f t="shared" si="5"/>
        <v>618</v>
      </c>
      <c r="U15" s="48">
        <f aca="true" t="shared" si="6" ref="U15:AG15">SUM(U10:U14)</f>
        <v>0</v>
      </c>
      <c r="V15" s="48">
        <f t="shared" si="6"/>
        <v>0</v>
      </c>
      <c r="W15" s="48">
        <f t="shared" si="6"/>
        <v>0</v>
      </c>
      <c r="X15" s="48">
        <f t="shared" si="6"/>
        <v>0</v>
      </c>
      <c r="Y15" s="48">
        <f t="shared" si="6"/>
        <v>0</v>
      </c>
      <c r="Z15" s="48">
        <f t="shared" si="6"/>
        <v>0</v>
      </c>
      <c r="AA15" s="48">
        <f t="shared" si="6"/>
        <v>0</v>
      </c>
      <c r="AB15" s="48">
        <f t="shared" si="6"/>
        <v>0</v>
      </c>
      <c r="AC15" s="48">
        <f t="shared" si="6"/>
        <v>0</v>
      </c>
      <c r="AD15" s="48">
        <f t="shared" si="6"/>
        <v>0</v>
      </c>
      <c r="AE15" s="48">
        <f t="shared" si="6"/>
        <v>0</v>
      </c>
      <c r="AF15" s="48">
        <f t="shared" si="6"/>
        <v>0</v>
      </c>
      <c r="AG15" s="48">
        <f t="shared" si="6"/>
        <v>0</v>
      </c>
      <c r="AH15" s="1990">
        <f t="shared" si="2"/>
        <v>203632.196</v>
      </c>
      <c r="AI15" s="1990">
        <f aca="true" t="shared" si="7" ref="AI15:AJ23">C15+G15+K15+O15+S15+W15+AA15+AE15</f>
        <v>208788.2</v>
      </c>
      <c r="AJ15" s="187">
        <f>+D15+H15+L15+P15+T15+X15+AB15+AF15</f>
        <v>171998</v>
      </c>
      <c r="AK15" s="2047">
        <f t="shared" si="4"/>
        <v>0.8237917660097649</v>
      </c>
      <c r="AL15" s="205">
        <f>SUM(AL10:AL14)</f>
        <v>47</v>
      </c>
      <c r="AM15" s="205">
        <f>SUM(AM10:AM14)</f>
        <v>47</v>
      </c>
      <c r="AN15" s="205">
        <f>SUM(AN10:AN14)</f>
        <v>45</v>
      </c>
      <c r="AO15" s="2047">
        <f>AN15/AM15</f>
        <v>0.9574468085106383</v>
      </c>
    </row>
    <row r="16" spans="1:41" ht="12.75">
      <c r="A16" s="172" t="s">
        <v>1905</v>
      </c>
      <c r="B16" s="201">
        <f>+'862101-Háziorvosi alapellátás'!E27</f>
        <v>6013</v>
      </c>
      <c r="C16" s="201">
        <f>6013+57</f>
        <v>6070</v>
      </c>
      <c r="D16" s="201">
        <v>5524</v>
      </c>
      <c r="E16" s="2042">
        <f t="shared" si="0"/>
        <v>0.9100494233937397</v>
      </c>
      <c r="F16" s="201">
        <f>+'862101-Háziorvosi alapellátás'!E34</f>
        <v>1461.51</v>
      </c>
      <c r="G16" s="201">
        <f>1462+15.4</f>
        <v>1477.4</v>
      </c>
      <c r="H16" s="201">
        <v>1311</v>
      </c>
      <c r="I16" s="2042">
        <f t="shared" si="1"/>
        <v>0.887369703533234</v>
      </c>
      <c r="J16" s="48">
        <f>+'862101-Háziorvosi alapellátás'!E44</f>
        <v>898.64</v>
      </c>
      <c r="K16" s="48">
        <v>899</v>
      </c>
      <c r="L16" s="48">
        <v>555</v>
      </c>
      <c r="M16" s="2045">
        <f t="shared" si="3"/>
        <v>0.6173526140155728</v>
      </c>
      <c r="N16" s="48"/>
      <c r="O16" s="48"/>
      <c r="P16" s="48"/>
      <c r="Q16" s="2045"/>
      <c r="R16" s="48"/>
      <c r="S16" s="48"/>
      <c r="T16" s="48"/>
      <c r="U16" s="2045"/>
      <c r="V16" s="48"/>
      <c r="W16" s="703"/>
      <c r="X16" s="703"/>
      <c r="Y16" s="703"/>
      <c r="Z16" s="204"/>
      <c r="AA16" s="204"/>
      <c r="AB16" s="204"/>
      <c r="AC16" s="204"/>
      <c r="AD16" s="204"/>
      <c r="AE16" s="204"/>
      <c r="AF16" s="204"/>
      <c r="AG16" s="204"/>
      <c r="AH16" s="204">
        <f t="shared" si="2"/>
        <v>8373.15</v>
      </c>
      <c r="AI16" s="204">
        <f t="shared" si="7"/>
        <v>8446.4</v>
      </c>
      <c r="AJ16" s="204">
        <f t="shared" si="7"/>
        <v>7390</v>
      </c>
      <c r="AK16" s="2047">
        <f t="shared" si="4"/>
        <v>0.8749289638189052</v>
      </c>
      <c r="AL16" s="205">
        <v>2</v>
      </c>
      <c r="AM16" s="205">
        <v>2</v>
      </c>
      <c r="AN16" s="205">
        <v>2</v>
      </c>
      <c r="AO16" s="2047">
        <f>AN16/AM16</f>
        <v>1</v>
      </c>
    </row>
    <row r="17" spans="1:41" ht="12.75">
      <c r="A17" s="172" t="s">
        <v>31</v>
      </c>
      <c r="B17" s="201">
        <v>0</v>
      </c>
      <c r="C17" s="201">
        <f>6109+102.4+89.6</f>
        <v>6301</v>
      </c>
      <c r="D17" s="201">
        <v>5348</v>
      </c>
      <c r="E17" s="2042">
        <f t="shared" si="0"/>
        <v>0.848754166005396</v>
      </c>
      <c r="F17" s="201">
        <v>0</v>
      </c>
      <c r="G17" s="201">
        <f>1647+27.6+24.2</f>
        <v>1698.8</v>
      </c>
      <c r="H17" s="201">
        <v>1444</v>
      </c>
      <c r="I17" s="2042">
        <f t="shared" si="1"/>
        <v>0.8500117730162468</v>
      </c>
      <c r="J17" s="48">
        <v>0</v>
      </c>
      <c r="K17" s="48">
        <v>2632</v>
      </c>
      <c r="L17" s="48">
        <v>276</v>
      </c>
      <c r="M17" s="2045">
        <f t="shared" si="3"/>
        <v>0.10486322188449848</v>
      </c>
      <c r="N17" s="48"/>
      <c r="O17" s="48"/>
      <c r="P17" s="48"/>
      <c r="Q17" s="2045"/>
      <c r="R17" s="48"/>
      <c r="S17" s="48"/>
      <c r="T17" s="48"/>
      <c r="U17" s="2045"/>
      <c r="V17" s="48"/>
      <c r="W17" s="703"/>
      <c r="X17" s="703"/>
      <c r="Y17" s="703"/>
      <c r="Z17" s="204"/>
      <c r="AA17" s="204"/>
      <c r="AB17" s="204"/>
      <c r="AC17" s="2047"/>
      <c r="AD17" s="204"/>
      <c r="AE17" s="204"/>
      <c r="AF17" s="204"/>
      <c r="AG17" s="204"/>
      <c r="AH17" s="204">
        <f t="shared" si="2"/>
        <v>0</v>
      </c>
      <c r="AI17" s="204">
        <f t="shared" si="7"/>
        <v>10631.8</v>
      </c>
      <c r="AJ17" s="204">
        <f t="shared" si="7"/>
        <v>7068</v>
      </c>
      <c r="AK17" s="2047">
        <f t="shared" si="4"/>
        <v>0.664798058654226</v>
      </c>
      <c r="AL17" s="205">
        <v>0</v>
      </c>
      <c r="AM17" s="205">
        <v>4</v>
      </c>
      <c r="AN17" s="205">
        <v>4</v>
      </c>
      <c r="AO17" s="2047">
        <f>AN17/AM17</f>
        <v>1</v>
      </c>
    </row>
    <row r="18" spans="1:41" ht="18" customHeight="1">
      <c r="A18" s="172" t="s">
        <v>1566</v>
      </c>
      <c r="B18" s="48"/>
      <c r="C18" s="48"/>
      <c r="D18" s="48"/>
      <c r="E18" s="2042"/>
      <c r="F18" s="48"/>
      <c r="G18" s="48"/>
      <c r="H18" s="48"/>
      <c r="I18" s="2042"/>
      <c r="J18" s="48">
        <f>+'841126-Finanszírozási műveletek'!D7+'841126-Finanszírozási műveletek'!F13+'841126-Finanszírozási műveletek'!D12</f>
        <v>46716.182</v>
      </c>
      <c r="K18" s="48">
        <v>46716</v>
      </c>
      <c r="L18" s="48"/>
      <c r="M18" s="2045">
        <f t="shared" si="3"/>
        <v>0</v>
      </c>
      <c r="N18" s="48"/>
      <c r="O18" s="48"/>
      <c r="P18" s="48"/>
      <c r="Q18" s="2045"/>
      <c r="R18" s="48"/>
      <c r="S18" s="48"/>
      <c r="T18" s="48"/>
      <c r="U18" s="2045"/>
      <c r="V18" s="48"/>
      <c r="W18" s="181"/>
      <c r="X18" s="181"/>
      <c r="Y18" s="181"/>
      <c r="Z18" s="48">
        <f>'841126-Finanszírozási műveletek'!D15</f>
        <v>57260.182</v>
      </c>
      <c r="AA18" s="204">
        <v>57260</v>
      </c>
      <c r="AB18" s="204">
        <f>469573+15587+531378</f>
        <v>1016538</v>
      </c>
      <c r="AC18" s="2047">
        <f>AB18/AA18</f>
        <v>17.75302130632204</v>
      </c>
      <c r="AD18" s="204"/>
      <c r="AE18" s="204"/>
      <c r="AF18" s="204"/>
      <c r="AG18" s="204"/>
      <c r="AH18" s="204">
        <f t="shared" si="2"/>
        <v>103976.364</v>
      </c>
      <c r="AI18" s="204">
        <f>+C18+G18+K18+O18+S18+W18+AA18+AE18</f>
        <v>103976</v>
      </c>
      <c r="AJ18" s="204">
        <f t="shared" si="7"/>
        <v>1016538</v>
      </c>
      <c r="AK18" s="2047">
        <f t="shared" si="4"/>
        <v>9.776659998461183</v>
      </c>
      <c r="AL18" s="205"/>
      <c r="AM18" s="205"/>
      <c r="AN18" s="342"/>
      <c r="AO18" s="2047"/>
    </row>
    <row r="19" spans="1:41" ht="18" customHeight="1">
      <c r="A19" s="172" t="s">
        <v>1355</v>
      </c>
      <c r="B19" s="48"/>
      <c r="C19" s="48"/>
      <c r="D19" s="48">
        <v>3623</v>
      </c>
      <c r="E19" s="2042"/>
      <c r="F19" s="48"/>
      <c r="G19" s="48"/>
      <c r="H19" s="48">
        <v>711</v>
      </c>
      <c r="I19" s="2042"/>
      <c r="J19" s="48">
        <v>0</v>
      </c>
      <c r="K19" s="48">
        <v>0</v>
      </c>
      <c r="L19" s="48">
        <v>141535</v>
      </c>
      <c r="M19" s="2045">
        <v>0</v>
      </c>
      <c r="N19" s="48"/>
      <c r="O19" s="48"/>
      <c r="P19" s="48"/>
      <c r="Q19" s="2045"/>
      <c r="R19" s="48"/>
      <c r="S19" s="48"/>
      <c r="T19" s="48"/>
      <c r="U19" s="2045"/>
      <c r="V19" s="48"/>
      <c r="W19" s="2064"/>
      <c r="X19" s="2064"/>
      <c r="Y19" s="2064"/>
      <c r="Z19" s="48"/>
      <c r="AA19" s="2065"/>
      <c r="AB19" s="2065"/>
      <c r="AC19" s="2066"/>
      <c r="AD19" s="2065"/>
      <c r="AE19" s="2065"/>
      <c r="AF19" s="204"/>
      <c r="AG19" s="204"/>
      <c r="AH19" s="204">
        <f t="shared" si="2"/>
        <v>0</v>
      </c>
      <c r="AI19" s="204">
        <f>+C19+G19+K19+O19+S19+W19+AA19+AE19</f>
        <v>0</v>
      </c>
      <c r="AJ19" s="204">
        <f t="shared" si="7"/>
        <v>145869</v>
      </c>
      <c r="AK19" s="2047">
        <v>0</v>
      </c>
      <c r="AL19" s="205"/>
      <c r="AM19" s="205"/>
      <c r="AN19" s="342"/>
      <c r="AO19" s="2047"/>
    </row>
    <row r="20" spans="1:41" ht="14.25" customHeight="1">
      <c r="A20" s="172" t="s">
        <v>174</v>
      </c>
      <c r="B20" s="48">
        <f>'682001-Lakóingatlanok '!E7</f>
        <v>0</v>
      </c>
      <c r="C20" s="48">
        <v>0</v>
      </c>
      <c r="D20" s="48"/>
      <c r="E20" s="2042"/>
      <c r="F20" s="48">
        <f>'682001-Lakóingatlanok '!E10</f>
        <v>0</v>
      </c>
      <c r="G20" s="48">
        <v>0</v>
      </c>
      <c r="H20" s="48"/>
      <c r="I20" s="2042"/>
      <c r="J20" s="48">
        <f>'682001-Lakóingatlanok '!E23+'682002-Nem lakóingatlanok'!E18</f>
        <v>15219.302500000002</v>
      </c>
      <c r="K20" s="48">
        <v>15219</v>
      </c>
      <c r="L20" s="48">
        <v>15209</v>
      </c>
      <c r="M20" s="2045">
        <f t="shared" si="3"/>
        <v>0.9993429266049018</v>
      </c>
      <c r="N20" s="48"/>
      <c r="O20" s="48"/>
      <c r="P20" s="48"/>
      <c r="Q20" s="2045"/>
      <c r="R20" s="48"/>
      <c r="S20" s="48"/>
      <c r="T20" s="48"/>
      <c r="U20" s="2045"/>
      <c r="V20" s="48"/>
      <c r="W20" s="48"/>
      <c r="X20" s="48"/>
      <c r="Y20" s="48"/>
      <c r="Z20" s="48"/>
      <c r="AA20" s="48"/>
      <c r="AB20" s="48"/>
      <c r="AC20" s="2045"/>
      <c r="AD20" s="48"/>
      <c r="AE20" s="48"/>
      <c r="AF20" s="204"/>
      <c r="AG20" s="204"/>
      <c r="AH20" s="204">
        <f t="shared" si="2"/>
        <v>15219.302500000002</v>
      </c>
      <c r="AI20" s="204">
        <f>+C20+G20+K20+O20+S20+W20+AA20+AE20</f>
        <v>15219</v>
      </c>
      <c r="AJ20" s="204">
        <f t="shared" si="7"/>
        <v>15209</v>
      </c>
      <c r="AK20" s="2047">
        <f t="shared" si="4"/>
        <v>0.9993429266049018</v>
      </c>
      <c r="AL20" s="205"/>
      <c r="AM20" s="205"/>
      <c r="AN20" s="342"/>
      <c r="AO20" s="2047"/>
    </row>
    <row r="21" spans="1:41" ht="12.75">
      <c r="A21" s="172" t="s">
        <v>1567</v>
      </c>
      <c r="B21" s="48"/>
      <c r="C21" s="48"/>
      <c r="D21" s="48"/>
      <c r="E21" s="2042"/>
      <c r="F21" s="48"/>
      <c r="G21" s="48"/>
      <c r="H21" s="48"/>
      <c r="I21" s="2042"/>
      <c r="J21" s="48">
        <f>'842531-Polgári védelem'!E23</f>
        <v>249.55</v>
      </c>
      <c r="K21" s="48">
        <v>250</v>
      </c>
      <c r="L21" s="48">
        <v>355</v>
      </c>
      <c r="M21" s="2045">
        <f t="shared" si="3"/>
        <v>1.42</v>
      </c>
      <c r="N21" s="48"/>
      <c r="O21" s="48"/>
      <c r="P21" s="48"/>
      <c r="Q21" s="2045"/>
      <c r="R21" s="48"/>
      <c r="S21" s="48"/>
      <c r="T21" s="48"/>
      <c r="U21" s="2045"/>
      <c r="V21" s="48"/>
      <c r="W21" s="48"/>
      <c r="X21" s="48"/>
      <c r="Y21" s="48"/>
      <c r="Z21" s="48"/>
      <c r="AA21" s="48"/>
      <c r="AB21" s="48"/>
      <c r="AC21" s="2045"/>
      <c r="AD21" s="48"/>
      <c r="AE21" s="48"/>
      <c r="AF21" s="204"/>
      <c r="AG21" s="204"/>
      <c r="AH21" s="204">
        <f t="shared" si="2"/>
        <v>249.55</v>
      </c>
      <c r="AI21" s="204">
        <f>+C21+G21+K21+O21+S21+W21+AA21+AE21</f>
        <v>250</v>
      </c>
      <c r="AJ21" s="204">
        <f t="shared" si="7"/>
        <v>355</v>
      </c>
      <c r="AK21" s="2047">
        <f t="shared" si="4"/>
        <v>1.42</v>
      </c>
      <c r="AL21" s="205"/>
      <c r="AM21" s="205"/>
      <c r="AN21" s="342"/>
      <c r="AO21" s="2047"/>
    </row>
    <row r="22" spans="1:41" ht="12.75">
      <c r="A22" s="310" t="s">
        <v>1568</v>
      </c>
      <c r="B22" s="48">
        <f>'841403- Városgazdálkodás'!E12</f>
        <v>0</v>
      </c>
      <c r="C22" s="48">
        <v>0</v>
      </c>
      <c r="D22" s="48"/>
      <c r="E22" s="2042"/>
      <c r="F22" s="48">
        <f>'841403- Városgazdálkodás'!E14</f>
        <v>0</v>
      </c>
      <c r="G22" s="48">
        <v>0</v>
      </c>
      <c r="H22" s="48"/>
      <c r="I22" s="2042"/>
      <c r="J22" s="201">
        <f>'841403- Városgazdálkodás'!E22</f>
        <v>1354</v>
      </c>
      <c r="K22" s="48">
        <v>1354</v>
      </c>
      <c r="L22" s="48">
        <v>13981</v>
      </c>
      <c r="M22" s="2045">
        <f t="shared" si="3"/>
        <v>10.325701624815363</v>
      </c>
      <c r="N22" s="48"/>
      <c r="O22" s="48"/>
      <c r="P22" s="48"/>
      <c r="Q22" s="2045"/>
      <c r="R22" s="48"/>
      <c r="S22" s="48"/>
      <c r="T22" s="48"/>
      <c r="U22" s="2045"/>
      <c r="V22" s="48"/>
      <c r="W22" s="48"/>
      <c r="X22" s="48"/>
      <c r="Y22" s="48"/>
      <c r="Z22" s="48"/>
      <c r="AA22" s="48"/>
      <c r="AB22" s="48"/>
      <c r="AC22" s="2045"/>
      <c r="AD22" s="48"/>
      <c r="AE22" s="48"/>
      <c r="AF22" s="204"/>
      <c r="AG22" s="204"/>
      <c r="AH22" s="204">
        <f t="shared" si="2"/>
        <v>1354</v>
      </c>
      <c r="AI22" s="204">
        <f>C22+G22+K22+O22+S22+W22+AA22+AE22</f>
        <v>1354</v>
      </c>
      <c r="AJ22" s="204">
        <f t="shared" si="7"/>
        <v>13981</v>
      </c>
      <c r="AK22" s="2047">
        <f t="shared" si="4"/>
        <v>10.325701624815363</v>
      </c>
      <c r="AL22" s="205"/>
      <c r="AM22" s="205"/>
      <c r="AN22" s="342"/>
      <c r="AO22" s="2047"/>
    </row>
    <row r="23" spans="1:41" ht="12.75">
      <c r="A23" s="310" t="s">
        <v>1356</v>
      </c>
      <c r="B23" s="48"/>
      <c r="C23" s="48"/>
      <c r="D23" s="48"/>
      <c r="E23" s="2042"/>
      <c r="F23" s="48"/>
      <c r="G23" s="48"/>
      <c r="H23" s="48"/>
      <c r="I23" s="2042"/>
      <c r="J23" s="201">
        <v>0</v>
      </c>
      <c r="K23" s="48">
        <v>0</v>
      </c>
      <c r="L23" s="48">
        <v>73</v>
      </c>
      <c r="M23" s="2045">
        <v>0</v>
      </c>
      <c r="N23" s="48"/>
      <c r="O23" s="48"/>
      <c r="P23" s="48"/>
      <c r="Q23" s="2045"/>
      <c r="R23" s="48"/>
      <c r="S23" s="48"/>
      <c r="T23" s="48"/>
      <c r="U23" s="2045"/>
      <c r="V23" s="48"/>
      <c r="W23" s="48"/>
      <c r="X23" s="48"/>
      <c r="Y23" s="48"/>
      <c r="Z23" s="48"/>
      <c r="AA23" s="48"/>
      <c r="AB23" s="48"/>
      <c r="AC23" s="2045"/>
      <c r="AD23" s="48"/>
      <c r="AE23" s="48"/>
      <c r="AF23" s="204"/>
      <c r="AG23" s="204"/>
      <c r="AH23" s="204">
        <f t="shared" si="2"/>
        <v>0</v>
      </c>
      <c r="AI23" s="204">
        <f>C23+G23+K23+O23+S23+W23+AA23+AE23</f>
        <v>0</v>
      </c>
      <c r="AJ23" s="204">
        <f t="shared" si="7"/>
        <v>73</v>
      </c>
      <c r="AK23" s="2047">
        <v>0</v>
      </c>
      <c r="AL23" s="205"/>
      <c r="AM23" s="205"/>
      <c r="AN23" s="342"/>
      <c r="AO23" s="2047"/>
    </row>
    <row r="24" spans="1:41" ht="12.75">
      <c r="A24" s="172" t="s">
        <v>1570</v>
      </c>
      <c r="B24" s="48"/>
      <c r="C24" s="48"/>
      <c r="D24" s="48"/>
      <c r="E24" s="2042"/>
      <c r="F24" s="48"/>
      <c r="G24" s="48"/>
      <c r="H24" s="48"/>
      <c r="I24" s="2042"/>
      <c r="J24" s="48">
        <f>'841402-Közvilágítás'!E19</f>
        <v>18663</v>
      </c>
      <c r="K24" s="48">
        <v>18663</v>
      </c>
      <c r="L24" s="48">
        <v>18562</v>
      </c>
      <c r="M24" s="2045">
        <f t="shared" si="3"/>
        <v>0.9945882226865992</v>
      </c>
      <c r="N24" s="48"/>
      <c r="O24" s="48"/>
      <c r="P24" s="48"/>
      <c r="Q24" s="2045"/>
      <c r="R24" s="48"/>
      <c r="S24" s="48"/>
      <c r="T24" s="48"/>
      <c r="U24" s="2045"/>
      <c r="V24" s="48"/>
      <c r="W24" s="48"/>
      <c r="X24" s="48"/>
      <c r="Y24" s="48"/>
      <c r="Z24" s="48"/>
      <c r="AA24" s="48"/>
      <c r="AB24" s="48"/>
      <c r="AC24" s="2045"/>
      <c r="AD24" s="48"/>
      <c r="AE24" s="48"/>
      <c r="AF24" s="204"/>
      <c r="AG24" s="204"/>
      <c r="AH24" s="204">
        <f t="shared" si="2"/>
        <v>18663</v>
      </c>
      <c r="AI24" s="204">
        <f aca="true" t="shared" si="8" ref="AI24:AJ36">+C24+G24+K24+O24+S24+W24+AA24+AE24</f>
        <v>18663</v>
      </c>
      <c r="AJ24" s="204">
        <f t="shared" si="8"/>
        <v>18562</v>
      </c>
      <c r="AK24" s="2047">
        <f t="shared" si="4"/>
        <v>0.9945882226865992</v>
      </c>
      <c r="AL24" s="205"/>
      <c r="AM24" s="205"/>
      <c r="AN24" s="342"/>
      <c r="AO24" s="2047"/>
    </row>
    <row r="25" spans="1:41" ht="12.75">
      <c r="A25" s="172" t="s">
        <v>1571</v>
      </c>
      <c r="B25" s="48"/>
      <c r="C25" s="48"/>
      <c r="D25" s="48"/>
      <c r="E25" s="2042"/>
      <c r="F25" s="48"/>
      <c r="G25" s="48"/>
      <c r="H25" s="48"/>
      <c r="I25" s="2042"/>
      <c r="J25" s="48"/>
      <c r="K25" s="48"/>
      <c r="L25" s="48"/>
      <c r="M25" s="2045"/>
      <c r="N25" s="48"/>
      <c r="O25" s="48"/>
      <c r="P25" s="48"/>
      <c r="Q25" s="2045"/>
      <c r="R25" s="201">
        <f>'841126-116-Önk. igazgatás'!E165</f>
        <v>50672</v>
      </c>
      <c r="S25" s="201">
        <f>3bm!D20</f>
        <v>50672</v>
      </c>
      <c r="T25" s="201">
        <f>3bm!E20</f>
        <v>11803</v>
      </c>
      <c r="U25" s="2042">
        <f>T25/S25</f>
        <v>0.2329294284812125</v>
      </c>
      <c r="V25" s="201">
        <f>3bm!C41</f>
        <v>57815</v>
      </c>
      <c r="W25" s="48">
        <f>3bm!D41</f>
        <v>57815</v>
      </c>
      <c r="X25" s="48">
        <f>3bm!E41</f>
        <v>55807</v>
      </c>
      <c r="Y25" s="2042">
        <f>X25/W25</f>
        <v>0.9652685289284788</v>
      </c>
      <c r="Z25" s="48"/>
      <c r="AA25" s="48"/>
      <c r="AB25" s="48"/>
      <c r="AC25" s="2045"/>
      <c r="AD25" s="48"/>
      <c r="AE25" s="48"/>
      <c r="AF25" s="204"/>
      <c r="AG25" s="204"/>
      <c r="AH25" s="204">
        <f t="shared" si="2"/>
        <v>108487</v>
      </c>
      <c r="AI25" s="204">
        <f t="shared" si="8"/>
        <v>108487</v>
      </c>
      <c r="AJ25" s="204">
        <f t="shared" si="8"/>
        <v>67610</v>
      </c>
      <c r="AK25" s="2047">
        <f t="shared" si="4"/>
        <v>0.6232083106731682</v>
      </c>
      <c r="AL25" s="205"/>
      <c r="AM25" s="205"/>
      <c r="AN25" s="342"/>
      <c r="AO25" s="2047"/>
    </row>
    <row r="26" spans="1:41" ht="12.75">
      <c r="A26" s="172" t="s">
        <v>1572</v>
      </c>
      <c r="B26" s="48"/>
      <c r="C26" s="48"/>
      <c r="D26" s="48"/>
      <c r="E26" s="2042"/>
      <c r="F26" s="48">
        <f>3am!B24</f>
        <v>0</v>
      </c>
      <c r="G26" s="48">
        <v>0</v>
      </c>
      <c r="H26" s="48">
        <v>443</v>
      </c>
      <c r="I26" s="2042"/>
      <c r="J26" s="48"/>
      <c r="K26" s="48"/>
      <c r="L26" s="48"/>
      <c r="M26" s="2045"/>
      <c r="N26" s="48">
        <f>3am!B21</f>
        <v>185795</v>
      </c>
      <c r="O26" s="48">
        <f>3am!C21</f>
        <v>185795</v>
      </c>
      <c r="P26" s="48">
        <f>3am!D21</f>
        <v>129313</v>
      </c>
      <c r="Q26" s="2045">
        <f>P26/O26</f>
        <v>0.6959982776716274</v>
      </c>
      <c r="R26" s="48"/>
      <c r="S26" s="48"/>
      <c r="T26" s="48"/>
      <c r="U26" s="2045"/>
      <c r="V26" s="48"/>
      <c r="W26" s="48"/>
      <c r="X26" s="48"/>
      <c r="Y26" s="2042"/>
      <c r="Z26" s="48"/>
      <c r="AA26" s="48"/>
      <c r="AB26" s="48"/>
      <c r="AC26" s="2045"/>
      <c r="AD26" s="48"/>
      <c r="AE26" s="48"/>
      <c r="AF26" s="204"/>
      <c r="AG26" s="204"/>
      <c r="AH26" s="204">
        <f t="shared" si="2"/>
        <v>185795</v>
      </c>
      <c r="AI26" s="204">
        <f t="shared" si="8"/>
        <v>185795</v>
      </c>
      <c r="AJ26" s="204">
        <f t="shared" si="8"/>
        <v>129756</v>
      </c>
      <c r="AK26" s="2047">
        <f t="shared" si="4"/>
        <v>0.6983826260125408</v>
      </c>
      <c r="AL26" s="205"/>
      <c r="AM26" s="205"/>
      <c r="AN26" s="342"/>
      <c r="AO26" s="2047"/>
    </row>
    <row r="27" spans="1:41" ht="12.75">
      <c r="A27" s="172" t="s">
        <v>1573</v>
      </c>
      <c r="B27" s="48"/>
      <c r="C27" s="48"/>
      <c r="D27" s="48"/>
      <c r="E27" s="2042"/>
      <c r="F27" s="48"/>
      <c r="G27" s="48"/>
      <c r="H27" s="48"/>
      <c r="I27" s="2042"/>
      <c r="J27" s="48"/>
      <c r="K27" s="48"/>
      <c r="L27" s="48"/>
      <c r="M27" s="2045"/>
      <c r="N27" s="48">
        <f>+3am!B36</f>
        <v>11413</v>
      </c>
      <c r="O27" s="48">
        <f>+3am!C36</f>
        <v>11413</v>
      </c>
      <c r="P27" s="48">
        <f>+3am!D36</f>
        <v>7505</v>
      </c>
      <c r="Q27" s="2045">
        <f>P27/O27</f>
        <v>0.6575834574607903</v>
      </c>
      <c r="R27" s="48"/>
      <c r="S27" s="48"/>
      <c r="T27" s="48"/>
      <c r="U27" s="2045"/>
      <c r="V27" s="48"/>
      <c r="W27" s="48"/>
      <c r="X27" s="48"/>
      <c r="Y27" s="2042"/>
      <c r="Z27" s="48"/>
      <c r="AA27" s="48"/>
      <c r="AB27" s="48"/>
      <c r="AC27" s="2045"/>
      <c r="AD27" s="48"/>
      <c r="AE27" s="48"/>
      <c r="AF27" s="204"/>
      <c r="AG27" s="204"/>
      <c r="AH27" s="204">
        <f t="shared" si="2"/>
        <v>11413</v>
      </c>
      <c r="AI27" s="204">
        <f t="shared" si="8"/>
        <v>11413</v>
      </c>
      <c r="AJ27" s="204">
        <f t="shared" si="8"/>
        <v>7505</v>
      </c>
      <c r="AK27" s="2047">
        <f t="shared" si="4"/>
        <v>0.6575834574607903</v>
      </c>
      <c r="AL27" s="205"/>
      <c r="AM27" s="205"/>
      <c r="AN27" s="342"/>
      <c r="AO27" s="2047"/>
    </row>
    <row r="28" spans="1:41" ht="12.75">
      <c r="A28" s="172" t="s">
        <v>1574</v>
      </c>
      <c r="B28" s="201">
        <f>'890441-Közcélú 2012'!D29</f>
        <v>83736</v>
      </c>
      <c r="C28" s="201">
        <v>83736</v>
      </c>
      <c r="D28" s="201">
        <v>82788</v>
      </c>
      <c r="E28" s="2042">
        <f>D28/C28</f>
        <v>0.9886787044998567</v>
      </c>
      <c r="F28" s="201">
        <f>'890441-Közcélú 2012'!D34</f>
        <v>11733</v>
      </c>
      <c r="G28" s="48">
        <v>11733</v>
      </c>
      <c r="H28" s="48">
        <v>11871</v>
      </c>
      <c r="I28" s="2042">
        <f>H28/G28</f>
        <v>1.011761697775505</v>
      </c>
      <c r="J28" s="201">
        <f>'890441-Közcélú 2012'!D43</f>
        <v>10598</v>
      </c>
      <c r="K28" s="48">
        <v>10598</v>
      </c>
      <c r="L28" s="48">
        <v>9696</v>
      </c>
      <c r="M28" s="2045">
        <f t="shared" si="3"/>
        <v>0.9148896018116626</v>
      </c>
      <c r="N28" s="201"/>
      <c r="O28" s="48"/>
      <c r="P28" s="48"/>
      <c r="Q28" s="2045"/>
      <c r="R28" s="48"/>
      <c r="S28" s="48"/>
      <c r="T28" s="48"/>
      <c r="U28" s="2045"/>
      <c r="V28" s="48"/>
      <c r="W28" s="48"/>
      <c r="X28" s="48"/>
      <c r="Y28" s="2042"/>
      <c r="Z28" s="48"/>
      <c r="AA28" s="48"/>
      <c r="AB28" s="48"/>
      <c r="AC28" s="2045"/>
      <c r="AD28" s="48"/>
      <c r="AE28" s="48"/>
      <c r="AF28" s="204"/>
      <c r="AG28" s="204"/>
      <c r="AH28" s="204">
        <f t="shared" si="2"/>
        <v>106067</v>
      </c>
      <c r="AI28" s="204">
        <f t="shared" si="8"/>
        <v>106067</v>
      </c>
      <c r="AJ28" s="204">
        <f t="shared" si="8"/>
        <v>104355</v>
      </c>
      <c r="AK28" s="2047">
        <f t="shared" si="4"/>
        <v>0.9838592587703998</v>
      </c>
      <c r="AL28" s="205">
        <v>96</v>
      </c>
      <c r="AM28" s="205">
        <v>96</v>
      </c>
      <c r="AN28" s="342">
        <v>114</v>
      </c>
      <c r="AO28" s="2047">
        <f>AN28/AM28</f>
        <v>1.1875</v>
      </c>
    </row>
    <row r="29" spans="1:41" ht="12.75">
      <c r="A29" s="310" t="s">
        <v>1904</v>
      </c>
      <c r="B29" s="201">
        <v>0</v>
      </c>
      <c r="C29" s="201">
        <v>0</v>
      </c>
      <c r="D29" s="201"/>
      <c r="E29" s="2042"/>
      <c r="F29" s="201">
        <v>0</v>
      </c>
      <c r="G29" s="48">
        <v>0</v>
      </c>
      <c r="H29" s="48"/>
      <c r="I29" s="2042"/>
      <c r="J29" s="201">
        <v>0</v>
      </c>
      <c r="K29" s="48">
        <v>0</v>
      </c>
      <c r="L29" s="48">
        <v>0</v>
      </c>
      <c r="M29" s="2045">
        <v>0</v>
      </c>
      <c r="N29" s="201"/>
      <c r="O29" s="48"/>
      <c r="P29" s="48"/>
      <c r="Q29" s="2045"/>
      <c r="R29" s="48"/>
      <c r="S29" s="48"/>
      <c r="T29" s="48"/>
      <c r="U29" s="2045"/>
      <c r="V29" s="48"/>
      <c r="W29" s="48"/>
      <c r="X29" s="48"/>
      <c r="Y29" s="2042"/>
      <c r="Z29" s="48"/>
      <c r="AA29" s="48"/>
      <c r="AB29" s="48"/>
      <c r="AC29" s="2045"/>
      <c r="AD29" s="48"/>
      <c r="AE29" s="48"/>
      <c r="AF29" s="204"/>
      <c r="AG29" s="204"/>
      <c r="AH29" s="204">
        <f t="shared" si="2"/>
        <v>0</v>
      </c>
      <c r="AI29" s="204"/>
      <c r="AJ29" s="204">
        <f t="shared" si="8"/>
        <v>0</v>
      </c>
      <c r="AK29" s="2047">
        <v>0</v>
      </c>
      <c r="AL29" s="205"/>
      <c r="AM29" s="205"/>
      <c r="AN29" s="342"/>
      <c r="AO29" s="2047"/>
    </row>
    <row r="30" spans="1:41" ht="12.75">
      <c r="A30" s="310" t="s">
        <v>463</v>
      </c>
      <c r="B30" s="201">
        <f>+'841358 - EKF'!D12</f>
        <v>510</v>
      </c>
      <c r="C30" s="201">
        <v>510</v>
      </c>
      <c r="D30" s="201"/>
      <c r="E30" s="2042">
        <f>D30/C30</f>
        <v>0</v>
      </c>
      <c r="F30" s="201">
        <f>+'841358 - EKF'!D16</f>
        <v>138</v>
      </c>
      <c r="G30" s="48">
        <v>138</v>
      </c>
      <c r="H30" s="48"/>
      <c r="I30" s="2042">
        <f>H30/G30</f>
        <v>0</v>
      </c>
      <c r="J30" s="201">
        <f>+'841358 - EKF'!D22</f>
        <v>0</v>
      </c>
      <c r="K30" s="48">
        <v>0</v>
      </c>
      <c r="L30" s="48">
        <v>0</v>
      </c>
      <c r="M30" s="2045">
        <v>0</v>
      </c>
      <c r="N30" s="201"/>
      <c r="O30" s="48"/>
      <c r="P30" s="48"/>
      <c r="Q30" s="2045"/>
      <c r="R30" s="48"/>
      <c r="S30" s="48"/>
      <c r="T30" s="48"/>
      <c r="U30" s="2045"/>
      <c r="V30" s="48"/>
      <c r="W30" s="48"/>
      <c r="X30" s="48"/>
      <c r="Y30" s="2042"/>
      <c r="Z30" s="48"/>
      <c r="AA30" s="48"/>
      <c r="AB30" s="48"/>
      <c r="AC30" s="2045"/>
      <c r="AD30" s="48"/>
      <c r="AE30" s="48"/>
      <c r="AF30" s="204"/>
      <c r="AG30" s="204"/>
      <c r="AH30" s="204">
        <f t="shared" si="2"/>
        <v>648</v>
      </c>
      <c r="AI30" s="204">
        <f>C30+G30+K30+O30+S30+W30+AA30+AE30</f>
        <v>648</v>
      </c>
      <c r="AJ30" s="204">
        <f t="shared" si="8"/>
        <v>0</v>
      </c>
      <c r="AK30" s="2047">
        <f t="shared" si="4"/>
        <v>0</v>
      </c>
      <c r="AL30" s="205"/>
      <c r="AM30" s="205"/>
      <c r="AN30" s="342"/>
      <c r="AO30" s="2047"/>
    </row>
    <row r="31" spans="1:41" ht="12.75">
      <c r="A31" s="310" t="s">
        <v>2208</v>
      </c>
      <c r="B31" s="201"/>
      <c r="C31" s="201"/>
      <c r="D31" s="201"/>
      <c r="E31" s="2042"/>
      <c r="F31" s="201"/>
      <c r="G31" s="48"/>
      <c r="H31" s="48"/>
      <c r="I31" s="2042"/>
      <c r="J31" s="201">
        <v>0</v>
      </c>
      <c r="K31" s="48">
        <v>0</v>
      </c>
      <c r="L31" s="201">
        <v>4413</v>
      </c>
      <c r="M31" s="2045">
        <v>0</v>
      </c>
      <c r="N31" s="201"/>
      <c r="O31" s="48"/>
      <c r="P31" s="48"/>
      <c r="Q31" s="2045"/>
      <c r="R31" s="48"/>
      <c r="S31" s="48"/>
      <c r="T31" s="48"/>
      <c r="U31" s="2045"/>
      <c r="V31" s="48"/>
      <c r="W31" s="48"/>
      <c r="X31" s="48"/>
      <c r="Y31" s="2042"/>
      <c r="Z31" s="48"/>
      <c r="AA31" s="48"/>
      <c r="AB31" s="48"/>
      <c r="AC31" s="2045"/>
      <c r="AD31" s="48"/>
      <c r="AE31" s="48"/>
      <c r="AF31" s="204"/>
      <c r="AG31" s="204"/>
      <c r="AH31" s="204"/>
      <c r="AI31" s="204"/>
      <c r="AJ31" s="204">
        <f t="shared" si="8"/>
        <v>4413</v>
      </c>
      <c r="AK31" s="2047">
        <v>0</v>
      </c>
      <c r="AL31" s="205"/>
      <c r="AM31" s="205"/>
      <c r="AN31" s="342"/>
      <c r="AO31" s="2047"/>
    </row>
    <row r="32" spans="1:41" ht="12.75">
      <c r="A32" s="310" t="s">
        <v>1225</v>
      </c>
      <c r="B32" s="201"/>
      <c r="C32" s="201"/>
      <c r="D32" s="201"/>
      <c r="E32" s="2042"/>
      <c r="F32" s="201"/>
      <c r="G32" s="48"/>
      <c r="H32" s="48"/>
      <c r="I32" s="2042"/>
      <c r="J32" s="201">
        <f>'Támop-3.2.3'!E28</f>
        <v>3321</v>
      </c>
      <c r="K32" s="48">
        <v>3321</v>
      </c>
      <c r="L32" s="48"/>
      <c r="M32" s="2045">
        <f t="shared" si="3"/>
        <v>0</v>
      </c>
      <c r="N32" s="201"/>
      <c r="O32" s="48"/>
      <c r="P32" s="48"/>
      <c r="Q32" s="2045"/>
      <c r="R32" s="48"/>
      <c r="S32" s="48"/>
      <c r="T32" s="48"/>
      <c r="U32" s="2045"/>
      <c r="V32" s="48"/>
      <c r="W32" s="48"/>
      <c r="X32" s="48"/>
      <c r="Y32" s="2042"/>
      <c r="Z32" s="48"/>
      <c r="AA32" s="48"/>
      <c r="AB32" s="48"/>
      <c r="AC32" s="2045"/>
      <c r="AD32" s="48"/>
      <c r="AE32" s="48"/>
      <c r="AF32" s="204"/>
      <c r="AG32" s="204"/>
      <c r="AH32" s="204">
        <f t="shared" si="2"/>
        <v>3321</v>
      </c>
      <c r="AI32" s="204">
        <f>C32+G32+K32+O32+S32+W32+AA32+AE32</f>
        <v>3321</v>
      </c>
      <c r="AJ32" s="204">
        <f t="shared" si="8"/>
        <v>0</v>
      </c>
      <c r="AK32" s="2047">
        <f t="shared" si="4"/>
        <v>0</v>
      </c>
      <c r="AL32" s="205"/>
      <c r="AM32" s="205"/>
      <c r="AN32" s="342"/>
      <c r="AO32" s="2047"/>
    </row>
    <row r="33" spans="1:41" ht="12.75">
      <c r="A33" s="172" t="s">
        <v>1172</v>
      </c>
      <c r="B33" s="48"/>
      <c r="C33" s="48"/>
      <c r="D33" s="48"/>
      <c r="E33" s="2042"/>
      <c r="F33" s="48"/>
      <c r="G33" s="48"/>
      <c r="H33" s="48"/>
      <c r="I33" s="2042"/>
      <c r="J33" s="48">
        <f>'602000-CSTV'!E11</f>
        <v>14501.514</v>
      </c>
      <c r="K33" s="48">
        <v>14502</v>
      </c>
      <c r="L33" s="48">
        <v>14286</v>
      </c>
      <c r="M33" s="2045">
        <f t="shared" si="3"/>
        <v>0.9851055026892842</v>
      </c>
      <c r="N33" s="48"/>
      <c r="O33" s="48"/>
      <c r="P33" s="48"/>
      <c r="Q33" s="2045"/>
      <c r="R33" s="48"/>
      <c r="S33" s="48"/>
      <c r="T33" s="48"/>
      <c r="U33" s="2045"/>
      <c r="V33" s="48"/>
      <c r="W33" s="48"/>
      <c r="X33" s="48"/>
      <c r="Y33" s="2042"/>
      <c r="Z33" s="48"/>
      <c r="AA33" s="48"/>
      <c r="AB33" s="48"/>
      <c r="AC33" s="2045"/>
      <c r="AD33" s="48"/>
      <c r="AE33" s="48"/>
      <c r="AF33" s="204"/>
      <c r="AG33" s="204"/>
      <c r="AH33" s="204">
        <f t="shared" si="2"/>
        <v>14501.514</v>
      </c>
      <c r="AI33" s="204">
        <f>+C33+G33+K33+O33+S33+W33+AA33+AE33</f>
        <v>14502</v>
      </c>
      <c r="AJ33" s="204">
        <f t="shared" si="8"/>
        <v>14286</v>
      </c>
      <c r="AK33" s="2047">
        <f t="shared" si="4"/>
        <v>0.9851055026892842</v>
      </c>
      <c r="AL33" s="205"/>
      <c r="AM33" s="205"/>
      <c r="AN33" s="342"/>
      <c r="AO33" s="2047"/>
    </row>
    <row r="34" spans="1:41" ht="12.75">
      <c r="A34" s="172" t="s">
        <v>485</v>
      </c>
      <c r="B34" s="48"/>
      <c r="C34" s="48"/>
      <c r="D34" s="48"/>
      <c r="E34" s="2042"/>
      <c r="F34" s="48"/>
      <c r="G34" s="48"/>
      <c r="H34" s="48"/>
      <c r="I34" s="2042"/>
      <c r="J34" s="48">
        <v>0</v>
      </c>
      <c r="K34" s="48">
        <v>0</v>
      </c>
      <c r="L34" s="48">
        <v>9253</v>
      </c>
      <c r="M34" s="2045">
        <v>0</v>
      </c>
      <c r="N34" s="48"/>
      <c r="O34" s="48"/>
      <c r="P34" s="48"/>
      <c r="Q34" s="2045"/>
      <c r="R34" s="48"/>
      <c r="S34" s="48"/>
      <c r="T34" s="48"/>
      <c r="U34" s="2045"/>
      <c r="V34" s="48"/>
      <c r="W34" s="48"/>
      <c r="X34" s="48"/>
      <c r="Y34" s="2042"/>
      <c r="Z34" s="48"/>
      <c r="AA34" s="48"/>
      <c r="AB34" s="48"/>
      <c r="AC34" s="2045"/>
      <c r="AD34" s="48"/>
      <c r="AE34" s="48"/>
      <c r="AF34" s="204"/>
      <c r="AG34" s="204"/>
      <c r="AH34" s="204"/>
      <c r="AI34" s="204"/>
      <c r="AJ34" s="204">
        <f t="shared" si="8"/>
        <v>9253</v>
      </c>
      <c r="AK34" s="2047">
        <v>0</v>
      </c>
      <c r="AL34" s="205"/>
      <c r="AM34" s="2282"/>
      <c r="AN34" s="342"/>
      <c r="AO34" s="2047"/>
    </row>
    <row r="35" spans="1:41" ht="12.75">
      <c r="A35" s="310" t="s">
        <v>1132</v>
      </c>
      <c r="B35" s="48"/>
      <c r="C35" s="48"/>
      <c r="D35" s="48"/>
      <c r="E35" s="2042"/>
      <c r="F35" s="48"/>
      <c r="G35" s="48"/>
      <c r="H35" s="48"/>
      <c r="I35" s="2042"/>
      <c r="J35" s="48">
        <f>'931102-172-Sportcsarnok'!E13</f>
        <v>33519</v>
      </c>
      <c r="K35" s="48">
        <v>33519</v>
      </c>
      <c r="L35" s="48">
        <v>128097</v>
      </c>
      <c r="M35" s="2045">
        <f t="shared" si="3"/>
        <v>3.821623556788687</v>
      </c>
      <c r="N35" s="48"/>
      <c r="O35" s="48"/>
      <c r="P35" s="48"/>
      <c r="Q35" s="2045"/>
      <c r="R35" s="48"/>
      <c r="S35" s="48"/>
      <c r="T35" s="48"/>
      <c r="U35" s="2045"/>
      <c r="V35" s="48"/>
      <c r="W35" s="48"/>
      <c r="X35" s="48"/>
      <c r="Y35" s="2042"/>
      <c r="Z35" s="48"/>
      <c r="AA35" s="48"/>
      <c r="AB35" s="48"/>
      <c r="AC35" s="2045"/>
      <c r="AD35" s="48"/>
      <c r="AE35" s="48"/>
      <c r="AF35" s="204"/>
      <c r="AG35" s="204"/>
      <c r="AH35" s="204">
        <f t="shared" si="2"/>
        <v>33519</v>
      </c>
      <c r="AI35" s="204">
        <f>C35+G35+K35+O35+S35+W35+AA35+AE35</f>
        <v>33519</v>
      </c>
      <c r="AJ35" s="204">
        <f t="shared" si="8"/>
        <v>128097</v>
      </c>
      <c r="AK35" s="2047">
        <f t="shared" si="4"/>
        <v>3.821623556788687</v>
      </c>
      <c r="AL35" s="205"/>
      <c r="AM35" s="212"/>
      <c r="AN35" s="342"/>
      <c r="AO35" s="2047"/>
    </row>
    <row r="36" spans="1:41" ht="12.75">
      <c r="A36" s="310" t="s">
        <v>1357</v>
      </c>
      <c r="B36" s="48"/>
      <c r="C36" s="48"/>
      <c r="D36" s="48"/>
      <c r="E36" s="2042"/>
      <c r="F36" s="48"/>
      <c r="G36" s="48"/>
      <c r="H36" s="48"/>
      <c r="I36" s="2042"/>
      <c r="J36" s="48">
        <v>0</v>
      </c>
      <c r="K36" s="48">
        <v>0</v>
      </c>
      <c r="L36" s="48">
        <v>63</v>
      </c>
      <c r="M36" s="2045">
        <v>0</v>
      </c>
      <c r="N36" s="48"/>
      <c r="O36" s="48"/>
      <c r="P36" s="48"/>
      <c r="Q36" s="2045"/>
      <c r="R36" s="48"/>
      <c r="S36" s="48"/>
      <c r="T36" s="48"/>
      <c r="U36" s="2045"/>
      <c r="V36" s="48"/>
      <c r="W36" s="48"/>
      <c r="X36" s="48"/>
      <c r="Y36" s="2042"/>
      <c r="Z36" s="48"/>
      <c r="AA36" s="48"/>
      <c r="AB36" s="48"/>
      <c r="AC36" s="2045"/>
      <c r="AD36" s="48"/>
      <c r="AE36" s="48"/>
      <c r="AF36" s="2065"/>
      <c r="AG36" s="204"/>
      <c r="AH36" s="204">
        <f t="shared" si="2"/>
        <v>0</v>
      </c>
      <c r="AI36" s="204">
        <f>C36+G36+K36+O36+S36+W36+AA36+AE36</f>
        <v>0</v>
      </c>
      <c r="AJ36" s="204">
        <f t="shared" si="8"/>
        <v>63</v>
      </c>
      <c r="AK36" s="2047">
        <v>0</v>
      </c>
      <c r="AL36" s="2067"/>
      <c r="AM36" s="2068"/>
      <c r="AN36" s="342"/>
      <c r="AO36" s="2047"/>
    </row>
    <row r="37" spans="1:41" s="9" customFormat="1" ht="12.75">
      <c r="A37" s="54" t="s">
        <v>2258</v>
      </c>
      <c r="B37" s="213">
        <f>SUM(B16:B35)</f>
        <v>90259</v>
      </c>
      <c r="C37" s="213">
        <f>SUM(C16:C35)</f>
        <v>96617</v>
      </c>
      <c r="D37" s="213">
        <f>SUM(D16:D35)</f>
        <v>97283</v>
      </c>
      <c r="E37" s="2043">
        <f>D37/C37</f>
        <v>1.0068931968494157</v>
      </c>
      <c r="F37" s="213">
        <f>SUM(F16:F35)</f>
        <v>13332.51</v>
      </c>
      <c r="G37" s="213">
        <f>SUM(G16:G35)</f>
        <v>15047.2</v>
      </c>
      <c r="H37" s="213">
        <f>SUM(H16:H35)</f>
        <v>15780</v>
      </c>
      <c r="I37" s="2042">
        <f>H37/G37</f>
        <v>1.0487000903822639</v>
      </c>
      <c r="J37" s="213">
        <f>SUM(J16:J35)</f>
        <v>145040.1885</v>
      </c>
      <c r="K37" s="213">
        <f>SUM(K16:K35)-1</f>
        <v>147672</v>
      </c>
      <c r="L37" s="213">
        <f>SUM(L16:L36)</f>
        <v>356354</v>
      </c>
      <c r="M37" s="2045">
        <f t="shared" si="3"/>
        <v>2.4131453491521753</v>
      </c>
      <c r="N37" s="213">
        <f aca="true" t="shared" si="9" ref="N37:Z37">SUM(N16:N35)</f>
        <v>197208</v>
      </c>
      <c r="O37" s="213">
        <f t="shared" si="9"/>
        <v>197208</v>
      </c>
      <c r="P37" s="213">
        <f t="shared" si="9"/>
        <v>136818</v>
      </c>
      <c r="Q37" s="2045">
        <f>P37/O37</f>
        <v>0.6937751004016064</v>
      </c>
      <c r="R37" s="213">
        <f t="shared" si="9"/>
        <v>50672</v>
      </c>
      <c r="S37" s="213">
        <f t="shared" si="9"/>
        <v>50672</v>
      </c>
      <c r="T37" s="213">
        <f t="shared" si="9"/>
        <v>11803</v>
      </c>
      <c r="U37" s="2044">
        <f>T37/S37</f>
        <v>0.2329294284812125</v>
      </c>
      <c r="V37" s="213">
        <f t="shared" si="9"/>
        <v>57815</v>
      </c>
      <c r="W37" s="213">
        <f t="shared" si="9"/>
        <v>57815</v>
      </c>
      <c r="X37" s="213">
        <f t="shared" si="9"/>
        <v>55807</v>
      </c>
      <c r="Y37" s="2043">
        <f>X37/W37</f>
        <v>0.9652685289284788</v>
      </c>
      <c r="Z37" s="213">
        <f t="shared" si="9"/>
        <v>57260.182</v>
      </c>
      <c r="AA37" s="213">
        <f>SUM(AA16:AA35)</f>
        <v>57260</v>
      </c>
      <c r="AB37" s="213">
        <f>SUM(AB16:AB35)</f>
        <v>1016538</v>
      </c>
      <c r="AC37" s="2044">
        <f>AB37/AA37</f>
        <v>17.75302130632204</v>
      </c>
      <c r="AD37" s="213">
        <f>SUM(AD16:AD35)</f>
        <v>0</v>
      </c>
      <c r="AE37" s="213">
        <f>SUM(AE20:AE35)</f>
        <v>0</v>
      </c>
      <c r="AF37" s="213">
        <f>SUM(AF20:AF35)</f>
        <v>0</v>
      </c>
      <c r="AG37" s="1990"/>
      <c r="AH37" s="1990">
        <f t="shared" si="2"/>
        <v>611586.8805</v>
      </c>
      <c r="AI37" s="1990">
        <f>C37+G37+K37+O37+S37+W37+AA37+AE37</f>
        <v>622291.2</v>
      </c>
      <c r="AJ37" s="1990">
        <f>D37+H37+L37+P37+T37+X37+AB37+AF37</f>
        <v>1690383</v>
      </c>
      <c r="AK37" s="2047">
        <f t="shared" si="4"/>
        <v>2.7163858335133138</v>
      </c>
      <c r="AL37" s="214">
        <f>AL28</f>
        <v>96</v>
      </c>
      <c r="AM37" s="205">
        <f>SUM(AM17:AM33)</f>
        <v>100</v>
      </c>
      <c r="AN37" s="205">
        <f>SUM(AN16:AN33)</f>
        <v>120</v>
      </c>
      <c r="AO37" s="2047">
        <f>AN37/AM37</f>
        <v>1.2</v>
      </c>
    </row>
    <row r="38" spans="1:41" ht="12.75">
      <c r="A38" s="215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046"/>
      <c r="R38" s="216"/>
      <c r="S38" s="216"/>
      <c r="T38" s="216"/>
      <c r="U38" s="2046"/>
      <c r="V38" s="216"/>
      <c r="W38" s="216"/>
      <c r="X38" s="216"/>
      <c r="Y38" s="2043"/>
      <c r="Z38" s="216"/>
      <c r="AA38" s="216"/>
      <c r="AB38" s="216"/>
      <c r="AC38" s="2046"/>
      <c r="AD38" s="216"/>
      <c r="AE38" s="216"/>
      <c r="AF38" s="216"/>
      <c r="AG38" s="216"/>
      <c r="AH38" s="465"/>
      <c r="AI38" s="216"/>
      <c r="AJ38" s="216"/>
      <c r="AK38" s="2047"/>
      <c r="AL38" s="217"/>
      <c r="AM38" s="218"/>
      <c r="AN38" s="342"/>
      <c r="AO38" s="2047"/>
    </row>
    <row r="39" spans="1:41" s="9" customFormat="1" ht="36">
      <c r="A39" s="1989" t="s">
        <v>2259</v>
      </c>
      <c r="B39" s="213">
        <f aca="true" t="shared" si="10" ref="B39:AN39">B15+B37</f>
        <v>211866.8</v>
      </c>
      <c r="C39" s="213">
        <f t="shared" si="10"/>
        <v>222285.2</v>
      </c>
      <c r="D39" s="213">
        <f t="shared" si="10"/>
        <v>218738</v>
      </c>
      <c r="E39" s="2043">
        <f>D39/C39</f>
        <v>0.9840421224624941</v>
      </c>
      <c r="F39" s="213">
        <f t="shared" si="10"/>
        <v>44025.626000000004</v>
      </c>
      <c r="G39" s="213">
        <f t="shared" si="10"/>
        <v>46836.2</v>
      </c>
      <c r="H39" s="213">
        <f t="shared" si="10"/>
        <v>46620</v>
      </c>
      <c r="I39" s="2044">
        <f t="shared" si="10"/>
        <v>2.018846996544773</v>
      </c>
      <c r="J39" s="213">
        <f t="shared" si="10"/>
        <v>196371.4685</v>
      </c>
      <c r="K39" s="213">
        <f t="shared" si="10"/>
        <v>199003</v>
      </c>
      <c r="L39" s="213">
        <f t="shared" si="10"/>
        <v>375439</v>
      </c>
      <c r="M39" s="2044">
        <f>L39/K39</f>
        <v>1.8865996995020176</v>
      </c>
      <c r="N39" s="213">
        <f t="shared" si="10"/>
        <v>197208</v>
      </c>
      <c r="O39" s="213">
        <f t="shared" si="10"/>
        <v>197208</v>
      </c>
      <c r="P39" s="213">
        <f t="shared" si="10"/>
        <v>136818</v>
      </c>
      <c r="Q39" s="2044">
        <f>P39/O39</f>
        <v>0.6937751004016064</v>
      </c>
      <c r="R39" s="213">
        <f t="shared" si="10"/>
        <v>50672</v>
      </c>
      <c r="S39" s="213">
        <f t="shared" si="10"/>
        <v>50672</v>
      </c>
      <c r="T39" s="213">
        <f t="shared" si="10"/>
        <v>12421</v>
      </c>
      <c r="U39" s="2044">
        <f>T39/S39</f>
        <v>0.2451255131038838</v>
      </c>
      <c r="V39" s="213">
        <f t="shared" si="10"/>
        <v>57815</v>
      </c>
      <c r="W39" s="213">
        <f t="shared" si="10"/>
        <v>57815</v>
      </c>
      <c r="X39" s="213">
        <f t="shared" si="10"/>
        <v>55807</v>
      </c>
      <c r="Y39" s="2043">
        <f>X39/W39</f>
        <v>0.9652685289284788</v>
      </c>
      <c r="Z39" s="213">
        <f t="shared" si="10"/>
        <v>57260.182</v>
      </c>
      <c r="AA39" s="213">
        <f t="shared" si="10"/>
        <v>57260</v>
      </c>
      <c r="AB39" s="213">
        <f t="shared" si="10"/>
        <v>1016538</v>
      </c>
      <c r="AC39" s="2044">
        <f>AB39/AA39</f>
        <v>17.75302130632204</v>
      </c>
      <c r="AD39" s="213">
        <f t="shared" si="10"/>
        <v>0</v>
      </c>
      <c r="AE39" s="213">
        <f t="shared" si="10"/>
        <v>0</v>
      </c>
      <c r="AF39" s="213">
        <f t="shared" si="10"/>
        <v>0</v>
      </c>
      <c r="AG39" s="213"/>
      <c r="AH39" s="213">
        <f>AH15+AH37</f>
        <v>815219.0765</v>
      </c>
      <c r="AI39" s="213">
        <f>AI15+AI37</f>
        <v>831079.3999999999</v>
      </c>
      <c r="AJ39" s="213">
        <f>AJ15+AJ37</f>
        <v>1862381</v>
      </c>
      <c r="AK39" s="2047">
        <f t="shared" si="4"/>
        <v>2.240918256426522</v>
      </c>
      <c r="AL39" s="2011">
        <f t="shared" si="10"/>
        <v>143</v>
      </c>
      <c r="AM39" s="2011">
        <f t="shared" si="10"/>
        <v>147</v>
      </c>
      <c r="AN39" s="2011">
        <f t="shared" si="10"/>
        <v>165</v>
      </c>
      <c r="AO39" s="2047">
        <f>AN39/AM39</f>
        <v>1.1224489795918366</v>
      </c>
    </row>
  </sheetData>
  <sheetProtection/>
  <mergeCells count="21">
    <mergeCell ref="A3:U3"/>
    <mergeCell ref="V3:AO3"/>
    <mergeCell ref="AM1:AO1"/>
    <mergeCell ref="S1:U1"/>
    <mergeCell ref="A2:U2"/>
    <mergeCell ref="V2:AP2"/>
    <mergeCell ref="A8:AO9"/>
    <mergeCell ref="AH4:AL4"/>
    <mergeCell ref="B5:E6"/>
    <mergeCell ref="F5:I6"/>
    <mergeCell ref="J5:M6"/>
    <mergeCell ref="N5:Q6"/>
    <mergeCell ref="R6:U6"/>
    <mergeCell ref="AH5:AK6"/>
    <mergeCell ref="AL5:AO6"/>
    <mergeCell ref="A5:A7"/>
    <mergeCell ref="V6:Y6"/>
    <mergeCell ref="Z5:AC6"/>
    <mergeCell ref="AD5:AG6"/>
    <mergeCell ref="R5:U5"/>
    <mergeCell ref="V5:Y5"/>
  </mergeCells>
  <printOptions/>
  <pageMargins left="0.7874015748031497" right="0.7874015748031497" top="1.1811023622047245" bottom="0.7874015748031497" header="0" footer="0"/>
  <pageSetup horizontalDpi="600" verticalDpi="600" orientation="landscape" paperSize="8" scale="44" r:id="rId1"/>
  <colBreaks count="1" manualBreakCount="1">
    <brk id="21" max="38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8"/>
  </sheetPr>
  <dimension ref="A1:F29"/>
  <sheetViews>
    <sheetView zoomScaleSheetLayoutView="100" zoomScalePageLayoutView="0" workbookViewId="0" topLeftCell="A16">
      <selection activeCell="C11" sqref="C11"/>
    </sheetView>
  </sheetViews>
  <sheetFormatPr defaultColWidth="9.140625" defaultRowHeight="12.75"/>
  <cols>
    <col min="1" max="1" width="13.57421875" style="0" bestFit="1" customWidth="1"/>
    <col min="2" max="2" width="58.421875" style="0" bestFit="1" customWidth="1"/>
    <col min="3" max="5" width="13.57421875" style="0" bestFit="1" customWidth="1"/>
    <col min="6" max="6" width="10.421875" style="0" bestFit="1" customWidth="1"/>
  </cols>
  <sheetData>
    <row r="1" spans="1:5" ht="25.5" customHeight="1">
      <c r="A1" s="2540" t="s">
        <v>1</v>
      </c>
      <c r="B1" s="2540"/>
      <c r="C1" s="2540"/>
      <c r="D1" s="2540"/>
      <c r="E1" s="2540"/>
    </row>
    <row r="2" spans="1:5" ht="21.75" customHeight="1">
      <c r="A2" s="2539" t="s">
        <v>1036</v>
      </c>
      <c r="B2" s="2539"/>
      <c r="C2" s="2539"/>
      <c r="D2" s="2539"/>
      <c r="E2" s="2539"/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3.5" thickBot="1">
      <c r="A6" s="541"/>
      <c r="B6" s="541"/>
      <c r="C6" s="520"/>
      <c r="D6" s="520"/>
      <c r="E6" s="520"/>
    </row>
    <row r="7" spans="1:5" ht="16.5" thickBot="1">
      <c r="A7" s="2502" t="s">
        <v>169</v>
      </c>
      <c r="B7" s="2503"/>
      <c r="C7" s="2503"/>
      <c r="D7" s="2503"/>
      <c r="E7" s="509"/>
    </row>
    <row r="8" spans="1:5" ht="13.5" thickBot="1">
      <c r="A8" s="564"/>
      <c r="B8" s="564"/>
      <c r="C8" s="565"/>
      <c r="D8" s="565"/>
      <c r="E8" s="565"/>
    </row>
    <row r="9" spans="1:5" ht="16.5" thickBot="1">
      <c r="A9" s="2502" t="s">
        <v>1386</v>
      </c>
      <c r="B9" s="2503"/>
      <c r="C9" s="2503"/>
      <c r="D9" s="2503"/>
      <c r="E9" s="509"/>
    </row>
    <row r="10" spans="1:6" ht="12.75">
      <c r="A10" s="13">
        <v>55215</v>
      </c>
      <c r="B10" s="567" t="s">
        <v>1395</v>
      </c>
      <c r="C10" s="14">
        <f>SUM(C11:C14)</f>
        <v>14694661.417322835</v>
      </c>
      <c r="D10" s="14">
        <f>+ROUND(C10,-3)</f>
        <v>14695000</v>
      </c>
      <c r="E10" s="14">
        <f>+D10/1000</f>
        <v>14695</v>
      </c>
      <c r="F10" s="7">
        <f>9946859+829</f>
        <v>9947688</v>
      </c>
    </row>
    <row r="11" spans="1:5" ht="12.75">
      <c r="A11" s="13"/>
      <c r="B11" s="567" t="s">
        <v>365</v>
      </c>
      <c r="C11" s="14">
        <f>481000*12*1.042/1.27</f>
        <v>4735766.9291338585</v>
      </c>
      <c r="D11" s="14"/>
      <c r="E11" s="14"/>
    </row>
    <row r="12" spans="1:5" ht="12.75">
      <c r="A12" s="13"/>
      <c r="B12" s="567" t="s">
        <v>364</v>
      </c>
      <c r="C12" s="14">
        <f>(489000*12+1350000)*1.042/1.27</f>
        <v>5922170.078740157</v>
      </c>
      <c r="D12" s="14"/>
      <c r="E12" s="14"/>
    </row>
    <row r="13" spans="1:5" ht="12.75">
      <c r="A13" s="13"/>
      <c r="B13" s="567" t="s">
        <v>1958</v>
      </c>
      <c r="C13" s="14">
        <f>210000*12*1.042/1.27</f>
        <v>2067590.5511811024</v>
      </c>
      <c r="D13" s="14"/>
      <c r="E13" s="14"/>
    </row>
    <row r="14" spans="1:5" ht="12.75">
      <c r="A14" s="13"/>
      <c r="B14" s="567" t="s">
        <v>361</v>
      </c>
      <c r="C14" s="14">
        <f>200000*12*1.042/1.27</f>
        <v>1969133.8582677166</v>
      </c>
      <c r="D14" s="14"/>
      <c r="E14" s="14"/>
    </row>
    <row r="15" spans="1:5" ht="12.75">
      <c r="A15" s="13"/>
      <c r="B15" s="567"/>
      <c r="C15" s="14"/>
      <c r="D15" s="14"/>
      <c r="E15" s="14"/>
    </row>
    <row r="16" spans="1:5" ht="12.75">
      <c r="A16" s="571" t="s">
        <v>1391</v>
      </c>
      <c r="B16" s="529"/>
      <c r="C16" s="529"/>
      <c r="D16" s="529"/>
      <c r="E16" s="529"/>
    </row>
    <row r="17" spans="1:6" ht="12.75">
      <c r="A17" s="532">
        <v>56111</v>
      </c>
      <c r="B17" s="568" t="s">
        <v>1399</v>
      </c>
      <c r="C17" s="569">
        <f>+C10*0.27</f>
        <v>3967558.5826771655</v>
      </c>
      <c r="D17" s="14">
        <f>+ROUND(C17,-3)</f>
        <v>3968000</v>
      </c>
      <c r="E17" s="14">
        <f>+D17/1000</f>
        <v>3968</v>
      </c>
      <c r="F17" s="7">
        <f>F10*0.27</f>
        <v>2685875.7600000002</v>
      </c>
    </row>
    <row r="18" spans="1:5" ht="13.5" thickBot="1">
      <c r="A18" s="572" t="s">
        <v>1398</v>
      </c>
      <c r="B18" s="570"/>
      <c r="C18" s="570"/>
      <c r="D18" s="570"/>
      <c r="E18" s="570"/>
    </row>
    <row r="19" spans="1:5" ht="16.5" thickBot="1">
      <c r="A19" s="2502" t="s">
        <v>1372</v>
      </c>
      <c r="B19" s="2503"/>
      <c r="C19" s="2503"/>
      <c r="D19" s="2503"/>
      <c r="E19" s="522">
        <f>+E17+E10</f>
        <v>18663</v>
      </c>
    </row>
    <row r="20" spans="1:5" ht="15.75">
      <c r="A20" s="80"/>
      <c r="B20" s="80"/>
      <c r="C20" s="80"/>
      <c r="D20" s="80"/>
      <c r="E20" s="81"/>
    </row>
    <row r="21" spans="1:5" ht="12.75">
      <c r="A21" s="2469" t="s">
        <v>215</v>
      </c>
      <c r="B21" s="2469"/>
      <c r="C21" s="2469"/>
      <c r="D21" s="2469"/>
      <c r="E21" s="2469"/>
    </row>
    <row r="23" spans="1:5" ht="15.75">
      <c r="A23" s="2495" t="s">
        <v>1368</v>
      </c>
      <c r="B23" s="2495"/>
      <c r="C23" s="2495"/>
      <c r="D23" s="2495"/>
      <c r="E23" s="78"/>
    </row>
    <row r="25" spans="1:5" ht="12.75">
      <c r="A25" s="2469" t="s">
        <v>185</v>
      </c>
      <c r="B25" s="2469"/>
      <c r="C25" s="2469"/>
      <c r="D25" s="2469"/>
      <c r="E25" s="2469"/>
    </row>
    <row r="27" spans="1:5" ht="15.75">
      <c r="A27" s="2495" t="s">
        <v>186</v>
      </c>
      <c r="B27" s="2495"/>
      <c r="C27" s="2495"/>
      <c r="D27" s="2495"/>
      <c r="E27" s="78"/>
    </row>
    <row r="29" spans="1:5" ht="15.75">
      <c r="A29" s="2493" t="s">
        <v>1375</v>
      </c>
      <c r="B29" s="2493"/>
      <c r="C29" s="2493"/>
      <c r="D29" s="2493"/>
      <c r="E29" s="79">
        <f>+E27+E23+E19+E9+E7</f>
        <v>18663</v>
      </c>
    </row>
  </sheetData>
  <sheetProtection/>
  <mergeCells count="12">
    <mergeCell ref="A2:E2"/>
    <mergeCell ref="A1:E1"/>
    <mergeCell ref="A7:D7"/>
    <mergeCell ref="A9:D9"/>
    <mergeCell ref="A4:E4"/>
    <mergeCell ref="A5:E5"/>
    <mergeCell ref="A27:D27"/>
    <mergeCell ref="A29:D29"/>
    <mergeCell ref="A19:D19"/>
    <mergeCell ref="A21:E21"/>
    <mergeCell ref="A23:D23"/>
    <mergeCell ref="A25:E2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SheetLayoutView="100" zoomScalePageLayoutView="0" workbookViewId="0" topLeftCell="A16">
      <selection activeCell="C9" sqref="C9"/>
    </sheetView>
  </sheetViews>
  <sheetFormatPr defaultColWidth="9.140625" defaultRowHeight="27" customHeight="1"/>
  <cols>
    <col min="1" max="1" width="13.57421875" style="98" bestFit="1" customWidth="1"/>
    <col min="2" max="2" width="61.8515625" style="98" customWidth="1"/>
    <col min="3" max="3" width="16.421875" style="98" customWidth="1"/>
    <col min="4" max="4" width="10.57421875" style="98" customWidth="1"/>
    <col min="5" max="5" width="17.00390625" style="98" customWidth="1"/>
    <col min="6" max="6" width="10.421875" style="98" bestFit="1" customWidth="1"/>
    <col min="7" max="16384" width="9.140625" style="98" customWidth="1"/>
  </cols>
  <sheetData>
    <row r="1" ht="27" customHeight="1">
      <c r="B1" s="418" t="s">
        <v>1</v>
      </c>
    </row>
    <row r="2" ht="27" customHeight="1">
      <c r="B2" s="398" t="s">
        <v>1037</v>
      </c>
    </row>
    <row r="4" spans="1:5" ht="27" customHeight="1">
      <c r="A4" s="2483" t="s">
        <v>1373</v>
      </c>
      <c r="B4" s="2483"/>
      <c r="C4" s="2483"/>
      <c r="D4" s="2483"/>
      <c r="E4" s="2483"/>
    </row>
    <row r="5" spans="1:5" ht="27" customHeight="1" thickBot="1">
      <c r="A5" s="500"/>
      <c r="B5" s="500"/>
      <c r="C5" s="501"/>
      <c r="D5" s="501"/>
      <c r="E5" s="501"/>
    </row>
    <row r="6" spans="1:5" ht="27" customHeight="1" thickBot="1">
      <c r="A6" s="2504" t="s">
        <v>169</v>
      </c>
      <c r="B6" s="2505"/>
      <c r="C6" s="2505"/>
      <c r="D6" s="2505"/>
      <c r="E6" s="502"/>
    </row>
    <row r="7" spans="1:5" ht="27" customHeight="1" thickBot="1">
      <c r="A7" s="546"/>
      <c r="B7" s="546"/>
      <c r="C7" s="545"/>
      <c r="D7" s="545"/>
      <c r="E7" s="545"/>
    </row>
    <row r="8" spans="1:5" ht="27" customHeight="1" thickBot="1">
      <c r="A8" s="2504" t="s">
        <v>1386</v>
      </c>
      <c r="B8" s="2505"/>
      <c r="C8" s="2505"/>
      <c r="D8" s="2505"/>
      <c r="E8" s="502"/>
    </row>
    <row r="9" spans="1:5" ht="27" customHeight="1">
      <c r="A9" s="573" t="s">
        <v>181</v>
      </c>
      <c r="B9" s="574" t="s">
        <v>1232</v>
      </c>
      <c r="C9" s="575">
        <f>(55864557*1.042)*0.6/1.27/1.042</f>
        <v>26392704.09448819</v>
      </c>
      <c r="D9" s="575"/>
      <c r="E9" s="576"/>
    </row>
    <row r="10" spans="1:5" ht="27" customHeight="1">
      <c r="A10" s="99">
        <v>552122</v>
      </c>
      <c r="B10" s="291" t="s">
        <v>119</v>
      </c>
      <c r="C10" s="107"/>
      <c r="D10" s="107"/>
      <c r="E10" s="100">
        <f>ROUND(C9,-3)/1000</f>
        <v>26393</v>
      </c>
    </row>
    <row r="11" spans="1:5" ht="27" customHeight="1">
      <c r="A11" s="850">
        <v>56111</v>
      </c>
      <c r="B11" s="851" t="s">
        <v>1399</v>
      </c>
      <c r="C11" s="300">
        <f>C9*0.27</f>
        <v>7126030.105511812</v>
      </c>
      <c r="D11" s="107"/>
      <c r="E11" s="100">
        <f>ROUND(C11,-3)/1000</f>
        <v>7126</v>
      </c>
    </row>
    <row r="12" spans="1:5" ht="27" customHeight="1" thickBot="1">
      <c r="A12" s="729">
        <v>55219</v>
      </c>
      <c r="B12" s="732" t="s">
        <v>657</v>
      </c>
      <c r="C12" s="730">
        <v>0</v>
      </c>
      <c r="D12" s="545"/>
      <c r="E12" s="731">
        <f>+ROUND(C12,-3)/1000</f>
        <v>0</v>
      </c>
    </row>
    <row r="13" spans="1:5" ht="27" customHeight="1" thickBot="1">
      <c r="A13" s="2504" t="s">
        <v>1372</v>
      </c>
      <c r="B13" s="2505"/>
      <c r="C13" s="2505"/>
      <c r="D13" s="2505"/>
      <c r="E13" s="577">
        <f>SUM(E10:E12)</f>
        <v>33519</v>
      </c>
    </row>
    <row r="14" spans="1:5" ht="27" customHeight="1" thickBot="1">
      <c r="A14" s="546"/>
      <c r="B14" s="546"/>
      <c r="C14" s="546"/>
      <c r="D14" s="546"/>
      <c r="E14" s="546"/>
    </row>
    <row r="15" spans="1:5" ht="27" customHeight="1" thickBot="1">
      <c r="A15" s="2504" t="s">
        <v>1368</v>
      </c>
      <c r="B15" s="2505"/>
      <c r="C15" s="2505"/>
      <c r="D15" s="2505"/>
      <c r="E15" s="502"/>
    </row>
    <row r="16" spans="1:5" ht="27" customHeight="1" thickBot="1">
      <c r="A16" s="546"/>
      <c r="B16" s="546"/>
      <c r="C16" s="546"/>
      <c r="D16" s="546"/>
      <c r="E16" s="546"/>
    </row>
    <row r="17" spans="1:5" ht="27" customHeight="1" thickBot="1">
      <c r="A17" s="2504" t="s">
        <v>186</v>
      </c>
      <c r="B17" s="2505"/>
      <c r="C17" s="2505"/>
      <c r="D17" s="2505"/>
      <c r="E17" s="502"/>
    </row>
    <row r="18" spans="1:5" ht="27" customHeight="1" thickBot="1">
      <c r="A18" s="2543" t="s">
        <v>1375</v>
      </c>
      <c r="B18" s="2544"/>
      <c r="C18" s="2544"/>
      <c r="D18" s="2544"/>
      <c r="E18" s="578">
        <f>+E17+E15+E13+E8+E6</f>
        <v>33519</v>
      </c>
    </row>
    <row r="20" spans="1:5" ht="27" customHeight="1">
      <c r="A20" s="2541" t="s">
        <v>1374</v>
      </c>
      <c r="B20" s="2541"/>
      <c r="C20" s="2541"/>
      <c r="D20" s="2541"/>
      <c r="E20" s="2541"/>
    </row>
    <row r="22" s="97" customFormat="1" ht="27" customHeight="1">
      <c r="E22" s="130"/>
    </row>
    <row r="23" s="97" customFormat="1" ht="27" customHeight="1">
      <c r="E23" s="130"/>
    </row>
    <row r="24" spans="3:4" ht="27" customHeight="1">
      <c r="C24" s="130"/>
      <c r="D24" s="130"/>
    </row>
    <row r="25" spans="3:5" ht="27" customHeight="1">
      <c r="C25" s="105"/>
      <c r="D25" s="105"/>
      <c r="E25" s="105"/>
    </row>
    <row r="26" spans="1:5" ht="27" customHeight="1">
      <c r="A26" s="2492" t="s">
        <v>1382</v>
      </c>
      <c r="B26" s="2542"/>
      <c r="C26" s="2542"/>
      <c r="D26" s="2542"/>
      <c r="E26" s="134">
        <f>E22</f>
        <v>0</v>
      </c>
    </row>
    <row r="27" spans="3:5" ht="27" customHeight="1">
      <c r="C27" s="105"/>
      <c r="D27" s="105"/>
      <c r="E27" s="105"/>
    </row>
    <row r="28" spans="3:5" ht="27" customHeight="1">
      <c r="C28" s="105"/>
      <c r="D28" s="105"/>
      <c r="E28" s="105"/>
    </row>
    <row r="29" spans="3:5" ht="27" customHeight="1">
      <c r="C29" s="105"/>
      <c r="D29" s="105"/>
      <c r="E29" s="105"/>
    </row>
    <row r="30" spans="3:5" ht="27" customHeight="1">
      <c r="C30" s="105"/>
      <c r="D30" s="105"/>
      <c r="E30" s="105"/>
    </row>
    <row r="31" spans="3:5" ht="27" customHeight="1">
      <c r="C31" s="105"/>
      <c r="D31" s="105"/>
      <c r="E31" s="105"/>
    </row>
    <row r="32" spans="3:5" ht="27" customHeight="1">
      <c r="C32" s="105"/>
      <c r="D32" s="105"/>
      <c r="E32" s="105"/>
    </row>
    <row r="33" spans="3:5" ht="27" customHeight="1">
      <c r="C33" s="105"/>
      <c r="D33" s="105"/>
      <c r="E33" s="105"/>
    </row>
  </sheetData>
  <sheetProtection/>
  <mergeCells count="9">
    <mergeCell ref="A20:E20"/>
    <mergeCell ref="A4:E4"/>
    <mergeCell ref="A6:D6"/>
    <mergeCell ref="A26:D26"/>
    <mergeCell ref="A17:D17"/>
    <mergeCell ref="A18:D18"/>
    <mergeCell ref="A8:D8"/>
    <mergeCell ref="A13:D13"/>
    <mergeCell ref="A15:D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8515625" style="336" customWidth="1"/>
    <col min="2" max="2" width="34.421875" style="0" customWidth="1"/>
    <col min="3" max="3" width="14.28125" style="0" customWidth="1"/>
    <col min="4" max="4" width="13.00390625" style="0" customWidth="1"/>
    <col min="5" max="5" width="14.7109375" style="0" customWidth="1"/>
  </cols>
  <sheetData>
    <row r="1" ht="18">
      <c r="B1" s="127" t="s">
        <v>1</v>
      </c>
    </row>
    <row r="2" spans="1:2" ht="18">
      <c r="A2" s="337"/>
      <c r="B2" s="399" t="s">
        <v>1038</v>
      </c>
    </row>
    <row r="4" spans="1:5" ht="15">
      <c r="A4" s="2515" t="s">
        <v>1373</v>
      </c>
      <c r="B4" s="2515"/>
      <c r="C4" s="2515"/>
      <c r="D4" s="2515"/>
      <c r="E4" s="2515"/>
    </row>
    <row r="5" spans="1:5" ht="13.5" thickBot="1">
      <c r="A5" s="580"/>
      <c r="B5" s="541"/>
      <c r="C5" s="520"/>
      <c r="D5" s="520"/>
      <c r="E5" s="520"/>
    </row>
    <row r="6" spans="1:5" ht="16.5" thickBot="1">
      <c r="A6" s="2502" t="s">
        <v>169</v>
      </c>
      <c r="B6" s="2503"/>
      <c r="C6" s="2503"/>
      <c r="D6" s="2503"/>
      <c r="E6" s="509"/>
    </row>
    <row r="7" spans="1:5" ht="13.5" thickBot="1">
      <c r="A7" s="582"/>
      <c r="B7" s="564"/>
      <c r="C7" s="565"/>
      <c r="D7" s="565"/>
      <c r="E7" s="565"/>
    </row>
    <row r="8" spans="1:5" ht="16.5" thickBot="1">
      <c r="A8" s="2502" t="s">
        <v>1386</v>
      </c>
      <c r="B8" s="2503"/>
      <c r="C8" s="2503"/>
      <c r="D8" s="2503"/>
      <c r="E8" s="509"/>
    </row>
    <row r="9" spans="1:5" ht="25.5">
      <c r="A9" s="583">
        <v>55219</v>
      </c>
      <c r="B9" s="246" t="s">
        <v>1133</v>
      </c>
      <c r="C9" s="584">
        <f>(1159750*1.042)*12</f>
        <v>14501514</v>
      </c>
      <c r="D9" s="563"/>
      <c r="E9" s="585">
        <f>C9/1000</f>
        <v>14501.514</v>
      </c>
    </row>
    <row r="10" spans="1:5" ht="13.5" thickBot="1">
      <c r="A10" s="579">
        <v>56111</v>
      </c>
      <c r="B10" s="538" t="s">
        <v>1399</v>
      </c>
      <c r="C10" s="566">
        <v>0</v>
      </c>
      <c r="D10" s="64">
        <f>+ROUND(C10,-3)</f>
        <v>0</v>
      </c>
      <c r="E10" s="35">
        <f>C10/1000</f>
        <v>0</v>
      </c>
    </row>
    <row r="11" spans="1:5" ht="16.5" thickBot="1">
      <c r="A11" s="2502" t="s">
        <v>1372</v>
      </c>
      <c r="B11" s="2503"/>
      <c r="C11" s="2503"/>
      <c r="D11" s="2503"/>
      <c r="E11" s="522">
        <f>+E10+E9</f>
        <v>14501.514</v>
      </c>
    </row>
    <row r="12" spans="1:5" ht="13.5" thickBot="1">
      <c r="A12" s="581"/>
      <c r="B12" s="199"/>
      <c r="C12" s="199"/>
      <c r="D12" s="199"/>
      <c r="E12" s="199"/>
    </row>
    <row r="13" spans="1:5" ht="16.5" thickBot="1">
      <c r="A13" s="2502" t="s">
        <v>1368</v>
      </c>
      <c r="B13" s="2503"/>
      <c r="C13" s="2503"/>
      <c r="D13" s="2503"/>
      <c r="E13" s="509"/>
    </row>
    <row r="14" spans="1:5" ht="13.5" thickBot="1">
      <c r="A14" s="586"/>
      <c r="B14" s="200"/>
      <c r="C14" s="200"/>
      <c r="D14" s="200"/>
      <c r="E14" s="200"/>
    </row>
    <row r="15" spans="1:5" ht="16.5" thickBot="1">
      <c r="A15" s="2502" t="s">
        <v>186</v>
      </c>
      <c r="B15" s="2503"/>
      <c r="C15" s="2503"/>
      <c r="D15" s="2503"/>
      <c r="E15" s="509"/>
    </row>
    <row r="16" spans="1:5" ht="16.5" thickBot="1">
      <c r="A16" s="2510" t="s">
        <v>1375</v>
      </c>
      <c r="B16" s="2511"/>
      <c r="C16" s="2511"/>
      <c r="D16" s="2511"/>
      <c r="E16" s="523">
        <f>+E15+E13+E11+E8+E6</f>
        <v>14501.514</v>
      </c>
    </row>
  </sheetData>
  <sheetProtection/>
  <mergeCells count="7">
    <mergeCell ref="A16:D16"/>
    <mergeCell ref="A11:D11"/>
    <mergeCell ref="A13:D13"/>
    <mergeCell ref="A4:E4"/>
    <mergeCell ref="A6:D6"/>
    <mergeCell ref="A8:D8"/>
    <mergeCell ref="A15:D1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view="pageBreakPreview" zoomScaleNormal="85" zoomScaleSheetLayoutView="100" zoomScalePageLayoutView="0" workbookViewId="0" topLeftCell="A13">
      <selection activeCell="E37" sqref="E37"/>
    </sheetView>
  </sheetViews>
  <sheetFormatPr defaultColWidth="9.140625" defaultRowHeight="12.75"/>
  <cols>
    <col min="1" max="1" width="13.57421875" style="0" bestFit="1" customWidth="1"/>
    <col min="2" max="2" width="45.8515625" style="0" bestFit="1" customWidth="1"/>
    <col min="3" max="5" width="13.57421875" style="0" bestFit="1" customWidth="1"/>
    <col min="6" max="6" width="10.421875" style="0" bestFit="1" customWidth="1"/>
  </cols>
  <sheetData>
    <row r="1" ht="24.75" customHeight="1">
      <c r="B1" s="127" t="s">
        <v>1</v>
      </c>
    </row>
    <row r="2" ht="27" customHeight="1">
      <c r="B2" s="399" t="s">
        <v>1039</v>
      </c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66"/>
      <c r="B6" s="66"/>
      <c r="C6" s="67"/>
      <c r="D6" s="67"/>
      <c r="E6" s="67"/>
    </row>
    <row r="7" spans="1:5" ht="15.75">
      <c r="A7" s="2495" t="s">
        <v>169</v>
      </c>
      <c r="B7" s="2495"/>
      <c r="C7" s="2495"/>
      <c r="D7" s="2495"/>
      <c r="E7" s="69"/>
    </row>
    <row r="8" spans="1:5" ht="12.75">
      <c r="A8" s="66"/>
      <c r="B8" s="66"/>
      <c r="C8" s="67"/>
      <c r="D8" s="67"/>
      <c r="E8" s="67"/>
    </row>
    <row r="9" spans="1:5" ht="12.75">
      <c r="A9" s="66"/>
      <c r="B9" s="66"/>
      <c r="C9" s="67"/>
      <c r="D9" s="67"/>
      <c r="E9" s="67"/>
    </row>
    <row r="10" spans="1:5" ht="12.75">
      <c r="A10" s="2420" t="s">
        <v>170</v>
      </c>
      <c r="B10" s="2509"/>
      <c r="C10" s="2509"/>
      <c r="D10" s="2509"/>
      <c r="E10" s="2509"/>
    </row>
    <row r="11" spans="1:5" ht="12.75">
      <c r="A11" s="66"/>
      <c r="B11" s="66"/>
      <c r="C11" s="67"/>
      <c r="D11" s="67"/>
      <c r="E11" s="67"/>
    </row>
    <row r="12" spans="1:5" ht="12.75">
      <c r="A12" s="66"/>
      <c r="B12" s="66"/>
      <c r="C12" s="67"/>
      <c r="D12" s="67"/>
      <c r="E12" s="67"/>
    </row>
    <row r="13" spans="1:5" ht="15.75">
      <c r="A13" s="2495" t="s">
        <v>1386</v>
      </c>
      <c r="B13" s="2495"/>
      <c r="C13" s="2495"/>
      <c r="D13" s="2495"/>
      <c r="E13" s="69"/>
    </row>
    <row r="14" spans="1:5" ht="12.75">
      <c r="A14" s="66"/>
      <c r="B14" s="66"/>
      <c r="C14" s="67"/>
      <c r="D14" s="67"/>
      <c r="E14" s="67"/>
    </row>
    <row r="15" spans="1:5" ht="12.75">
      <c r="A15" s="66"/>
      <c r="B15" s="66"/>
      <c r="C15" s="67"/>
      <c r="D15" s="67"/>
      <c r="E15" s="67"/>
    </row>
    <row r="16" spans="1:5" ht="12.75">
      <c r="A16" s="2469" t="s">
        <v>172</v>
      </c>
      <c r="B16" s="2469"/>
      <c r="C16" s="2469"/>
      <c r="D16" s="2469"/>
      <c r="E16" s="2469"/>
    </row>
    <row r="17" spans="1:5" ht="12.75">
      <c r="A17" s="2469" t="s">
        <v>1388</v>
      </c>
      <c r="B17" s="2469"/>
      <c r="C17" s="2469"/>
      <c r="D17" s="2469"/>
      <c r="E17" s="2469"/>
    </row>
    <row r="18" spans="1:5" ht="12.75">
      <c r="A18" s="66"/>
      <c r="B18" s="66"/>
      <c r="C18" s="67"/>
      <c r="D18" s="67"/>
      <c r="E18" s="67"/>
    </row>
    <row r="19" spans="1:5" ht="12.75">
      <c r="A19" s="2469" t="s">
        <v>1391</v>
      </c>
      <c r="B19" s="2469"/>
      <c r="C19" s="2469"/>
      <c r="D19" s="2469"/>
      <c r="E19" s="2469"/>
    </row>
    <row r="20" spans="1:5" ht="12.75">
      <c r="A20" s="24"/>
      <c r="B20" s="28"/>
      <c r="C20" s="33"/>
      <c r="D20" s="33"/>
      <c r="E20" s="33"/>
    </row>
    <row r="21" spans="1:5" ht="12.75">
      <c r="A21" s="2469" t="s">
        <v>1398</v>
      </c>
      <c r="B21" s="2469"/>
      <c r="C21" s="2469"/>
      <c r="D21" s="2469"/>
      <c r="E21" s="2469"/>
    </row>
    <row r="23" spans="1:8" ht="15.75">
      <c r="A23" s="2495" t="s">
        <v>1372</v>
      </c>
      <c r="B23" s="2495"/>
      <c r="C23" s="2495"/>
      <c r="D23" s="2495"/>
      <c r="E23" s="73"/>
      <c r="F23" s="2545"/>
      <c r="G23" s="2545"/>
      <c r="H23" s="2545"/>
    </row>
    <row r="24" spans="1:5" ht="15.75">
      <c r="A24" s="80"/>
      <c r="B24" s="80"/>
      <c r="C24" s="80"/>
      <c r="D24" s="80"/>
      <c r="E24" s="81"/>
    </row>
    <row r="25" spans="1:5" ht="12.75">
      <c r="A25" s="2469" t="s">
        <v>215</v>
      </c>
      <c r="B25" s="2469"/>
      <c r="C25" s="2469"/>
      <c r="D25" s="2469"/>
      <c r="E25" s="2469"/>
    </row>
    <row r="27" spans="1:5" ht="15.75">
      <c r="A27" s="2495" t="s">
        <v>1368</v>
      </c>
      <c r="B27" s="2495"/>
      <c r="C27" s="2495"/>
      <c r="D27" s="2495"/>
      <c r="E27" s="78"/>
    </row>
    <row r="29" spans="1:5" ht="12.75">
      <c r="A29" s="2469" t="s">
        <v>185</v>
      </c>
      <c r="B29" s="2469"/>
      <c r="C29" s="2469"/>
      <c r="D29" s="2469"/>
      <c r="E29" s="2469"/>
    </row>
    <row r="30" spans="1:5" ht="12.75">
      <c r="A30" s="53"/>
      <c r="B30" s="53"/>
      <c r="C30" s="53"/>
      <c r="D30" s="53"/>
      <c r="E30" s="53"/>
    </row>
    <row r="31" spans="1:5" ht="12.75">
      <c r="A31" s="53"/>
      <c r="B31" s="53"/>
      <c r="C31" s="53"/>
      <c r="D31" s="53"/>
      <c r="E31" s="53"/>
    </row>
    <row r="32" spans="1:5" ht="12.75">
      <c r="A32" s="53"/>
      <c r="B32" s="53"/>
      <c r="C32" s="53"/>
      <c r="D32" s="53"/>
      <c r="E32" s="53"/>
    </row>
    <row r="33" spans="1:5" ht="12.75">
      <c r="A33" s="53"/>
      <c r="B33" s="53"/>
      <c r="C33" s="53"/>
      <c r="D33" s="53"/>
      <c r="E33" s="53"/>
    </row>
    <row r="35" spans="1:5" ht="15.75">
      <c r="A35" s="2495" t="s">
        <v>186</v>
      </c>
      <c r="B35" s="2495"/>
      <c r="C35" s="2495"/>
      <c r="D35" s="2495"/>
      <c r="E35" s="78">
        <v>6725</v>
      </c>
    </row>
    <row r="37" spans="1:5" ht="15.75">
      <c r="A37" s="2493" t="s">
        <v>1375</v>
      </c>
      <c r="B37" s="2493"/>
      <c r="C37" s="2493"/>
      <c r="D37" s="2493"/>
      <c r="E37" s="79">
        <f>+E35+E27+E23+E13+E7</f>
        <v>6725</v>
      </c>
    </row>
  </sheetData>
  <sheetProtection/>
  <mergeCells count="16">
    <mergeCell ref="A35:D35"/>
    <mergeCell ref="A37:D37"/>
    <mergeCell ref="A25:E25"/>
    <mergeCell ref="A27:D27"/>
    <mergeCell ref="A4:E4"/>
    <mergeCell ref="A5:E5"/>
    <mergeCell ref="A7:D7"/>
    <mergeCell ref="A10:E10"/>
    <mergeCell ref="F23:H23"/>
    <mergeCell ref="A29:E29"/>
    <mergeCell ref="A13:D13"/>
    <mergeCell ref="A16:E16"/>
    <mergeCell ref="A17:E17"/>
    <mergeCell ref="A19:E19"/>
    <mergeCell ref="A21:E21"/>
    <mergeCell ref="A23:D23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5" max="6553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1"/>
  </sheetPr>
  <dimension ref="A1:L33"/>
  <sheetViews>
    <sheetView view="pageBreakPreview" zoomScaleNormal="90" zoomScaleSheetLayoutView="100" zoomScalePageLayoutView="0" workbookViewId="0" topLeftCell="A7">
      <selection activeCell="B2" sqref="B2"/>
    </sheetView>
  </sheetViews>
  <sheetFormatPr defaultColWidth="9.140625" defaultRowHeight="12.75"/>
  <cols>
    <col min="1" max="1" width="8.8515625" style="0" bestFit="1" customWidth="1"/>
    <col min="2" max="2" width="45.00390625" style="0" bestFit="1" customWidth="1"/>
    <col min="3" max="3" width="10.421875" style="0" bestFit="1" customWidth="1"/>
    <col min="4" max="4" width="10.28125" style="0" bestFit="1" customWidth="1"/>
    <col min="5" max="5" width="8.421875" style="0" bestFit="1" customWidth="1"/>
  </cols>
  <sheetData>
    <row r="1" ht="23.25" customHeight="1">
      <c r="B1" s="127" t="s">
        <v>1</v>
      </c>
    </row>
    <row r="2" ht="23.25" customHeight="1">
      <c r="B2" s="129" t="s">
        <v>1041</v>
      </c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66"/>
      <c r="B6" s="66"/>
      <c r="C6" s="67"/>
      <c r="D6" s="67"/>
      <c r="E6" s="67"/>
    </row>
    <row r="7" spans="1:5" ht="15.75">
      <c r="A7" s="2495" t="s">
        <v>169</v>
      </c>
      <c r="B7" s="2495"/>
      <c r="C7" s="2495"/>
      <c r="D7" s="2495"/>
      <c r="E7" s="69"/>
    </row>
    <row r="8" spans="1:5" ht="12.75">
      <c r="A8" s="66"/>
      <c r="B8" s="66"/>
      <c r="C8" s="67"/>
      <c r="D8" s="67"/>
      <c r="E8" s="67"/>
    </row>
    <row r="9" spans="1:5" ht="12.75">
      <c r="A9" s="66"/>
      <c r="B9" s="66"/>
      <c r="C9" s="67"/>
      <c r="D9" s="67"/>
      <c r="E9" s="67"/>
    </row>
    <row r="10" spans="1:5" ht="12.75">
      <c r="A10" s="2420" t="s">
        <v>170</v>
      </c>
      <c r="B10" s="2509"/>
      <c r="C10" s="2509"/>
      <c r="D10" s="2509"/>
      <c r="E10" s="2509"/>
    </row>
    <row r="11" spans="1:5" ht="12.75">
      <c r="A11" s="66"/>
      <c r="B11" s="66"/>
      <c r="C11" s="67"/>
      <c r="D11" s="67"/>
      <c r="E11" s="67"/>
    </row>
    <row r="12" spans="1:5" ht="12.75">
      <c r="A12" s="66"/>
      <c r="B12" s="66"/>
      <c r="C12" s="67"/>
      <c r="D12" s="67"/>
      <c r="E12" s="67"/>
    </row>
    <row r="13" spans="1:5" ht="15.75">
      <c r="A13" s="2495" t="s">
        <v>1386</v>
      </c>
      <c r="B13" s="2495"/>
      <c r="C13" s="2495"/>
      <c r="D13" s="2495"/>
      <c r="E13" s="69"/>
    </row>
    <row r="14" spans="1:5" ht="12.75">
      <c r="A14" s="66"/>
      <c r="B14" s="66"/>
      <c r="C14" s="67"/>
      <c r="D14" s="67"/>
      <c r="E14" s="67"/>
    </row>
    <row r="15" spans="1:5" ht="12.75">
      <c r="A15" s="66"/>
      <c r="B15" s="66"/>
      <c r="C15" s="67"/>
      <c r="D15" s="67"/>
      <c r="E15" s="67"/>
    </row>
    <row r="16" spans="1:12" ht="27" customHeight="1">
      <c r="A16" s="2469" t="s">
        <v>172</v>
      </c>
      <c r="B16" s="2469"/>
      <c r="C16" s="2469"/>
      <c r="D16" s="2469"/>
      <c r="E16" s="2469"/>
      <c r="K16">
        <v>0</v>
      </c>
      <c r="L16">
        <v>1</v>
      </c>
    </row>
    <row r="18" spans="1:5" ht="15.75">
      <c r="A18" s="2495" t="s">
        <v>1372</v>
      </c>
      <c r="B18" s="2495"/>
      <c r="C18" s="2495"/>
      <c r="D18" s="2495"/>
      <c r="E18" s="73"/>
    </row>
    <row r="19" spans="1:5" ht="15.75">
      <c r="A19" s="80"/>
      <c r="B19" s="80"/>
      <c r="C19" s="80"/>
      <c r="D19" s="80"/>
      <c r="E19" s="81"/>
    </row>
    <row r="20" spans="1:5" ht="12.75">
      <c r="A20" s="2469" t="s">
        <v>215</v>
      </c>
      <c r="B20" s="2469"/>
      <c r="C20" s="2469"/>
      <c r="D20" s="2469"/>
      <c r="E20" s="2469"/>
    </row>
    <row r="22" spans="1:5" ht="15.75">
      <c r="A22" s="2495" t="s">
        <v>1368</v>
      </c>
      <c r="B22" s="2495"/>
      <c r="C22" s="2495"/>
      <c r="D22" s="2495"/>
      <c r="E22" s="78"/>
    </row>
    <row r="23" spans="1:5" ht="15.75">
      <c r="A23" s="80"/>
      <c r="B23" s="80"/>
      <c r="C23" s="80"/>
      <c r="D23" s="80"/>
      <c r="E23" s="82"/>
    </row>
    <row r="24" spans="1:5" ht="12.75">
      <c r="A24" s="2469" t="s">
        <v>205</v>
      </c>
      <c r="B24" s="2469"/>
      <c r="C24" s="2469"/>
      <c r="D24" s="2469"/>
      <c r="E24" s="2469"/>
    </row>
    <row r="25" spans="1:5" ht="12.75">
      <c r="A25" s="88">
        <v>583125</v>
      </c>
      <c r="B25" s="84" t="s">
        <v>1520</v>
      </c>
      <c r="C25" s="87">
        <v>500000</v>
      </c>
      <c r="D25" s="87">
        <f>+ROUND(C25,-3)</f>
        <v>500000</v>
      </c>
      <c r="E25" s="86">
        <f>+D25/1000</f>
        <v>500</v>
      </c>
    </row>
    <row r="26" spans="1:5" ht="12.75">
      <c r="A26" s="62"/>
      <c r="B26" s="62" t="s">
        <v>1519</v>
      </c>
      <c r="C26" s="77">
        <v>500000</v>
      </c>
      <c r="D26" s="62"/>
      <c r="E26" s="62"/>
    </row>
    <row r="27" spans="1:5" ht="15.75">
      <c r="A27" s="2495" t="s">
        <v>214</v>
      </c>
      <c r="B27" s="2495"/>
      <c r="C27" s="2495"/>
      <c r="D27" s="2495"/>
      <c r="E27" s="78">
        <f>+E25</f>
        <v>500</v>
      </c>
    </row>
    <row r="28" spans="1:5" ht="12.75">
      <c r="A28" s="83"/>
      <c r="B28" s="83"/>
      <c r="C28" s="83"/>
      <c r="D28" s="83"/>
      <c r="E28" s="56"/>
    </row>
    <row r="29" spans="1:5" ht="12.75">
      <c r="A29" s="2469" t="s">
        <v>185</v>
      </c>
      <c r="B29" s="2469"/>
      <c r="C29" s="2469"/>
      <c r="D29" s="2469"/>
      <c r="E29" s="2469"/>
    </row>
    <row r="31" spans="1:5" ht="15.75">
      <c r="A31" s="2495" t="s">
        <v>186</v>
      </c>
      <c r="B31" s="2495"/>
      <c r="C31" s="2495"/>
      <c r="D31" s="2495"/>
      <c r="E31" s="78"/>
    </row>
    <row r="33" spans="1:5" ht="15.75">
      <c r="A33" s="2493" t="s">
        <v>1375</v>
      </c>
      <c r="B33" s="2493"/>
      <c r="C33" s="2493"/>
      <c r="D33" s="2493"/>
      <c r="E33" s="79">
        <f>+E31+E22+E18+E13+E7+E27</f>
        <v>500</v>
      </c>
    </row>
  </sheetData>
  <sheetProtection/>
  <mergeCells count="14">
    <mergeCell ref="A18:D18"/>
    <mergeCell ref="A20:E20"/>
    <mergeCell ref="A31:D31"/>
    <mergeCell ref="A33:D33"/>
    <mergeCell ref="A22:D22"/>
    <mergeCell ref="A24:E24"/>
    <mergeCell ref="A27:D27"/>
    <mergeCell ref="A29:E29"/>
    <mergeCell ref="A16:E16"/>
    <mergeCell ref="A4:E4"/>
    <mergeCell ref="A5:E5"/>
    <mergeCell ref="A7:D7"/>
    <mergeCell ref="A10:E10"/>
    <mergeCell ref="A13:D13"/>
  </mergeCells>
  <printOptions/>
  <pageMargins left="0.75" right="0.75" top="1" bottom="1" header="0.5" footer="0.5"/>
  <pageSetup horizontalDpi="600" verticalDpi="600" orientation="portrait" paperSize="9" scale="77" r:id="rId1"/>
  <colBreaks count="1" manualBreakCount="1">
    <brk id="5" max="655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1"/>
  </sheetPr>
  <dimension ref="A1:G47"/>
  <sheetViews>
    <sheetView view="pageBreakPreview" zoomScaleNormal="85" zoomScaleSheetLayoutView="100" zoomScalePageLayoutView="0" workbookViewId="0" topLeftCell="A19">
      <selection activeCell="E41" sqref="E41"/>
    </sheetView>
  </sheetViews>
  <sheetFormatPr defaultColWidth="9.140625" defaultRowHeight="12.75"/>
  <cols>
    <col min="1" max="1" width="15.421875" style="0" customWidth="1"/>
    <col min="2" max="2" width="50.00390625" style="0" bestFit="1" customWidth="1"/>
    <col min="3" max="3" width="13.421875" style="0" customWidth="1"/>
    <col min="4" max="4" width="13.28125" style="0" bestFit="1" customWidth="1"/>
    <col min="5" max="5" width="10.140625" style="0" bestFit="1" customWidth="1"/>
    <col min="6" max="6" width="10.421875" style="0" bestFit="1" customWidth="1"/>
  </cols>
  <sheetData>
    <row r="1" spans="1:2" ht="28.5" customHeight="1">
      <c r="A1" s="2540" t="s">
        <v>1</v>
      </c>
      <c r="B1" s="2546"/>
    </row>
    <row r="2" spans="1:2" ht="24" customHeight="1">
      <c r="A2" s="2337" t="s">
        <v>1042</v>
      </c>
      <c r="B2" s="2454"/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66"/>
      <c r="B6" s="66"/>
      <c r="C6" s="67"/>
      <c r="D6" s="67"/>
      <c r="E6" s="67"/>
    </row>
    <row r="7" spans="1:5" ht="15.75">
      <c r="A7" s="2495" t="s">
        <v>169</v>
      </c>
      <c r="B7" s="2495"/>
      <c r="C7" s="2495"/>
      <c r="D7" s="2495"/>
      <c r="E7" s="69"/>
    </row>
    <row r="8" spans="1:5" ht="12.75">
      <c r="A8" s="66"/>
      <c r="B8" s="66"/>
      <c r="C8" s="67"/>
      <c r="D8" s="67"/>
      <c r="E8" s="67"/>
    </row>
    <row r="9" spans="1:5" ht="12.75">
      <c r="A9" s="66"/>
      <c r="B9" s="66"/>
      <c r="C9" s="67"/>
      <c r="D9" s="67"/>
      <c r="E9" s="67"/>
    </row>
    <row r="10" spans="1:5" ht="15.75">
      <c r="A10" s="2495" t="s">
        <v>1386</v>
      </c>
      <c r="B10" s="2495"/>
      <c r="C10" s="2495"/>
      <c r="D10" s="2495"/>
      <c r="E10" s="69"/>
    </row>
    <row r="11" spans="1:5" ht="12.75">
      <c r="A11" s="66"/>
      <c r="B11" s="66"/>
      <c r="C11" s="67"/>
      <c r="D11" s="67"/>
      <c r="E11" s="67"/>
    </row>
    <row r="12" spans="1:5" ht="12.75">
      <c r="A12" s="66"/>
      <c r="B12" s="66"/>
      <c r="C12" s="67"/>
      <c r="D12" s="67"/>
      <c r="E12" s="67"/>
    </row>
    <row r="13" spans="1:5" ht="12.75">
      <c r="A13" s="2469" t="s">
        <v>172</v>
      </c>
      <c r="B13" s="2469"/>
      <c r="C13" s="2469"/>
      <c r="D13" s="2469"/>
      <c r="E13" s="2469"/>
    </row>
    <row r="15" spans="1:5" ht="15.75">
      <c r="A15" s="2495" t="s">
        <v>1372</v>
      </c>
      <c r="B15" s="2495"/>
      <c r="C15" s="2495"/>
      <c r="D15" s="2495"/>
      <c r="E15" s="73"/>
    </row>
    <row r="16" spans="1:5" ht="15.75">
      <c r="A16" s="80"/>
      <c r="B16" s="80"/>
      <c r="C16" s="80"/>
      <c r="D16" s="80"/>
      <c r="E16" s="81"/>
    </row>
    <row r="17" spans="1:5" ht="12.75">
      <c r="A17" s="2469" t="s">
        <v>215</v>
      </c>
      <c r="B17" s="2469"/>
      <c r="C17" s="2469"/>
      <c r="D17" s="2469"/>
      <c r="E17" s="2469"/>
    </row>
    <row r="19" spans="1:5" ht="15.75">
      <c r="A19" s="2495" t="s">
        <v>1368</v>
      </c>
      <c r="B19" s="2495"/>
      <c r="C19" s="2495"/>
      <c r="D19" s="2495"/>
      <c r="E19" s="78"/>
    </row>
    <row r="20" spans="1:5" ht="15.75">
      <c r="A20" s="80"/>
      <c r="B20" s="80"/>
      <c r="C20" s="80"/>
      <c r="D20" s="80"/>
      <c r="E20" s="82"/>
    </row>
    <row r="21" spans="1:5" ht="12.75">
      <c r="A21" s="32" t="s">
        <v>1047</v>
      </c>
      <c r="B21" s="2469" t="s">
        <v>205</v>
      </c>
      <c r="C21" s="2469"/>
      <c r="D21" s="2469"/>
      <c r="E21" s="2469"/>
    </row>
    <row r="22" spans="1:5" ht="12.75">
      <c r="A22" s="648" t="s">
        <v>1045</v>
      </c>
      <c r="B22" s="364" t="s">
        <v>1517</v>
      </c>
      <c r="C22" s="649">
        <f>C23</f>
        <v>3009600</v>
      </c>
      <c r="D22" s="649">
        <f>+ROUND(C22,-3)</f>
        <v>3010000</v>
      </c>
      <c r="E22" s="93">
        <f>+D22/1000</f>
        <v>3010</v>
      </c>
    </row>
    <row r="23" spans="1:5" ht="12.75">
      <c r="A23" s="349"/>
      <c r="B23" s="354" t="s">
        <v>1070</v>
      </c>
      <c r="C23" s="355">
        <f>8*31350*12</f>
        <v>3009600</v>
      </c>
      <c r="D23" s="349"/>
      <c r="E23" s="349"/>
    </row>
    <row r="24" spans="1:5" s="22" customFormat="1" ht="12.75">
      <c r="A24" s="648" t="s">
        <v>1046</v>
      </c>
      <c r="B24" s="364" t="s">
        <v>1518</v>
      </c>
      <c r="C24" s="649">
        <f>SUM(C25:C25)</f>
        <v>39000000</v>
      </c>
      <c r="D24" s="649">
        <f>+ROUND(C24,-3)</f>
        <v>39000000</v>
      </c>
      <c r="E24" s="93">
        <f>+D24/1000</f>
        <v>39000</v>
      </c>
    </row>
    <row r="25" spans="1:5" s="22" customFormat="1" ht="12.75">
      <c r="A25" s="650"/>
      <c r="B25" s="301" t="s">
        <v>206</v>
      </c>
      <c r="C25" s="649">
        <f>500*6500*12</f>
        <v>39000000</v>
      </c>
      <c r="D25" s="649"/>
      <c r="E25" s="649"/>
    </row>
    <row r="26" s="22" customFormat="1" ht="12.75"/>
    <row r="27" spans="1:5" s="22" customFormat="1" ht="12.75">
      <c r="A27" s="83"/>
      <c r="B27" s="83"/>
      <c r="C27" s="83"/>
      <c r="D27" s="83"/>
      <c r="E27" s="56"/>
    </row>
    <row r="28" spans="1:5" s="22" customFormat="1" ht="12.75">
      <c r="A28" s="85"/>
      <c r="B28" s="641" t="s">
        <v>1178</v>
      </c>
      <c r="C28" s="89"/>
      <c r="D28" s="89"/>
      <c r="E28" s="89"/>
    </row>
    <row r="29" spans="1:5" s="22" customFormat="1" ht="12.75">
      <c r="A29" s="648" t="s">
        <v>1048</v>
      </c>
      <c r="B29" s="364" t="s">
        <v>1061</v>
      </c>
      <c r="C29" s="651">
        <f>20*38350*12</f>
        <v>9204000</v>
      </c>
      <c r="D29" s="364"/>
      <c r="E29" s="93">
        <f>ROUND(C29,-3)/1000</f>
        <v>9204</v>
      </c>
    </row>
    <row r="30" spans="1:5" s="22" customFormat="1" ht="12.75">
      <c r="A30" s="516"/>
      <c r="B30" s="652" t="s">
        <v>1869</v>
      </c>
      <c r="C30" s="649"/>
      <c r="D30" s="649"/>
      <c r="E30" s="93"/>
    </row>
    <row r="31" spans="1:5" s="22" customFormat="1" ht="12.75">
      <c r="A31" s="648" t="s">
        <v>1049</v>
      </c>
      <c r="B31" s="55" t="s">
        <v>1062</v>
      </c>
      <c r="C31" s="651">
        <f>35*29500*12</f>
        <v>12390000</v>
      </c>
      <c r="D31" s="649"/>
      <c r="E31" s="93">
        <f>ROUND(C31,-3)/1000</f>
        <v>12390</v>
      </c>
    </row>
    <row r="32" spans="1:5" s="22" customFormat="1" ht="12.75">
      <c r="A32" s="648"/>
      <c r="B32" s="301" t="s">
        <v>1870</v>
      </c>
      <c r="C32" s="651"/>
      <c r="D32" s="364"/>
      <c r="E32" s="93"/>
    </row>
    <row r="33" spans="1:5" s="58" customFormat="1" ht="12.75">
      <c r="A33" s="648" t="s">
        <v>1050</v>
      </c>
      <c r="B33" s="364" t="s">
        <v>213</v>
      </c>
      <c r="C33" s="651">
        <f>9*23600*8</f>
        <v>1699200</v>
      </c>
      <c r="D33" s="649"/>
      <c r="E33" s="93">
        <f>ROUND(C33,-3)/1000</f>
        <v>1699</v>
      </c>
    </row>
    <row r="34" spans="1:5" s="58" customFormat="1" ht="12.75">
      <c r="A34" s="653"/>
      <c r="B34" s="531" t="s">
        <v>207</v>
      </c>
      <c r="C34" s="651"/>
      <c r="D34" s="649"/>
      <c r="E34" s="93"/>
    </row>
    <row r="35" s="58" customFormat="1" ht="12.75"/>
    <row r="36" spans="1:5" s="58" customFormat="1" ht="12.75">
      <c r="A36" s="83"/>
      <c r="B36" s="83"/>
      <c r="C36" s="83"/>
      <c r="D36" s="83"/>
      <c r="E36" s="56"/>
    </row>
    <row r="37" spans="1:7" s="58" customFormat="1" ht="15.75">
      <c r="A37" s="2495" t="s">
        <v>214</v>
      </c>
      <c r="B37" s="2495"/>
      <c r="C37" s="2495"/>
      <c r="D37" s="2495"/>
      <c r="E37" s="78">
        <f>E22+E24+E29+E31+E33</f>
        <v>65303</v>
      </c>
      <c r="G37" s="852"/>
    </row>
    <row r="38" spans="1:7" s="58" customFormat="1" ht="15.75">
      <c r="A38" s="80"/>
      <c r="B38" s="80"/>
      <c r="C38" s="80"/>
      <c r="D38" s="80"/>
      <c r="E38" s="82"/>
      <c r="G38" s="58">
        <f>+G37/22</f>
        <v>0</v>
      </c>
    </row>
    <row r="39" spans="1:5" s="58" customFormat="1" ht="15.75">
      <c r="A39" s="80" t="s">
        <v>1072</v>
      </c>
      <c r="B39" s="80" t="s">
        <v>1071</v>
      </c>
      <c r="C39" s="80"/>
      <c r="D39" s="80"/>
      <c r="E39" s="82"/>
    </row>
    <row r="40" spans="1:5" s="58" customFormat="1" ht="15.75">
      <c r="A40" s="331" t="s">
        <v>1073</v>
      </c>
      <c r="B40" s="331" t="s">
        <v>1071</v>
      </c>
      <c r="C40" s="331"/>
      <c r="D40" s="331"/>
      <c r="E40" s="332"/>
    </row>
    <row r="41" spans="1:5" s="58" customFormat="1" ht="12.75">
      <c r="A41" s="83">
        <v>53112</v>
      </c>
      <c r="B41" s="83" t="s">
        <v>1074</v>
      </c>
      <c r="C41" s="83"/>
      <c r="D41" s="83"/>
      <c r="E41" s="56">
        <v>0</v>
      </c>
    </row>
    <row r="42" spans="1:5" s="58" customFormat="1" ht="12.75">
      <c r="A42" s="83"/>
      <c r="B42" s="83"/>
      <c r="C42" s="83"/>
      <c r="D42" s="83"/>
      <c r="E42" s="56"/>
    </row>
    <row r="43" spans="1:5" s="58" customFormat="1" ht="12.75">
      <c r="A43" s="2469" t="s">
        <v>185</v>
      </c>
      <c r="B43" s="2469"/>
      <c r="C43" s="2469"/>
      <c r="D43" s="2469"/>
      <c r="E43" s="2469"/>
    </row>
    <row r="44" spans="1:5" s="58" customFormat="1" ht="12.75">
      <c r="A44"/>
      <c r="B44"/>
      <c r="C44"/>
      <c r="D44"/>
      <c r="E44"/>
    </row>
    <row r="45" spans="1:5" s="58" customFormat="1" ht="15.75">
      <c r="A45" s="2495" t="s">
        <v>186</v>
      </c>
      <c r="B45" s="2495"/>
      <c r="C45" s="2495"/>
      <c r="D45" s="2495"/>
      <c r="E45" s="78">
        <v>0</v>
      </c>
    </row>
    <row r="46" spans="1:5" s="58" customFormat="1" ht="12.75">
      <c r="A46"/>
      <c r="B46"/>
      <c r="C46"/>
      <c r="D46"/>
      <c r="E46"/>
    </row>
    <row r="47" spans="1:5" s="58" customFormat="1" ht="15.75">
      <c r="A47" s="2493" t="s">
        <v>1375</v>
      </c>
      <c r="B47" s="2493"/>
      <c r="C47" s="2493"/>
      <c r="D47" s="2493"/>
      <c r="E47" s="79">
        <f>E37+E41</f>
        <v>65303</v>
      </c>
    </row>
  </sheetData>
  <sheetProtection/>
  <mergeCells count="15">
    <mergeCell ref="A47:D47"/>
    <mergeCell ref="A37:D37"/>
    <mergeCell ref="A45:D45"/>
    <mergeCell ref="A15:D15"/>
    <mergeCell ref="A17:E17"/>
    <mergeCell ref="A19:D19"/>
    <mergeCell ref="A43:E43"/>
    <mergeCell ref="B21:E21"/>
    <mergeCell ref="A13:E13"/>
    <mergeCell ref="A7:D7"/>
    <mergeCell ref="A10:D10"/>
    <mergeCell ref="A1:B1"/>
    <mergeCell ref="A2:B2"/>
    <mergeCell ref="A4:E4"/>
    <mergeCell ref="A5:E5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1"/>
  </sheetPr>
  <dimension ref="A1:E35"/>
  <sheetViews>
    <sheetView view="pageBreakPreview" zoomScaleNormal="85" zoomScaleSheetLayoutView="100" zoomScalePageLayoutView="0" workbookViewId="0" topLeftCell="A7">
      <selection activeCell="B2" sqref="B2:C2"/>
    </sheetView>
  </sheetViews>
  <sheetFormatPr defaultColWidth="9.140625" defaultRowHeight="12.75"/>
  <cols>
    <col min="1" max="1" width="13.57421875" style="0" bestFit="1" customWidth="1"/>
    <col min="2" max="2" width="47.57421875" style="0" bestFit="1" customWidth="1"/>
    <col min="3" max="5" width="10.28125" style="0" bestFit="1" customWidth="1"/>
    <col min="6" max="6" width="10.57421875" style="0" bestFit="1" customWidth="1"/>
  </cols>
  <sheetData>
    <row r="1" spans="2:3" ht="24" customHeight="1">
      <c r="B1" s="2540" t="s">
        <v>1</v>
      </c>
      <c r="C1" s="2546"/>
    </row>
    <row r="2" spans="2:3" ht="24" customHeight="1">
      <c r="B2" s="2547" t="s">
        <v>1043</v>
      </c>
      <c r="C2" s="2548"/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66"/>
      <c r="B6" s="66"/>
      <c r="C6" s="67"/>
      <c r="D6" s="67"/>
      <c r="E6" s="67"/>
    </row>
    <row r="7" spans="1:5" ht="15.75">
      <c r="A7" s="2495" t="s">
        <v>169</v>
      </c>
      <c r="B7" s="2495"/>
      <c r="C7" s="2495"/>
      <c r="D7" s="2495"/>
      <c r="E7" s="69"/>
    </row>
    <row r="8" spans="1:5" ht="12.75">
      <c r="A8" s="66"/>
      <c r="B8" s="66"/>
      <c r="C8" s="67"/>
      <c r="D8" s="67"/>
      <c r="E8" s="67"/>
    </row>
    <row r="9" spans="1:5" ht="12.75">
      <c r="A9" s="66"/>
      <c r="B9" s="66"/>
      <c r="C9" s="67"/>
      <c r="D9" s="67"/>
      <c r="E9" s="67"/>
    </row>
    <row r="10" spans="1:5" ht="12.75">
      <c r="A10" s="2420" t="s">
        <v>170</v>
      </c>
      <c r="B10" s="2509"/>
      <c r="C10" s="2509"/>
      <c r="D10" s="2509"/>
      <c r="E10" s="2509"/>
    </row>
    <row r="11" spans="1:5" ht="12.75">
      <c r="A11" s="66"/>
      <c r="B11" s="66"/>
      <c r="C11" s="67"/>
      <c r="D11" s="67"/>
      <c r="E11" s="67"/>
    </row>
    <row r="12" spans="1:5" ht="12.75">
      <c r="A12" s="66"/>
      <c r="B12" s="66"/>
      <c r="C12" s="67"/>
      <c r="D12" s="67"/>
      <c r="E12" s="67"/>
    </row>
    <row r="13" spans="1:5" ht="15.75">
      <c r="A13" s="2495" t="s">
        <v>1386</v>
      </c>
      <c r="B13" s="2495"/>
      <c r="C13" s="2495"/>
      <c r="D13" s="2495"/>
      <c r="E13" s="69">
        <v>0</v>
      </c>
    </row>
    <row r="14" spans="1:5" ht="12.75">
      <c r="A14" s="66"/>
      <c r="B14" s="66"/>
      <c r="C14" s="67"/>
      <c r="D14" s="67"/>
      <c r="E14" s="67"/>
    </row>
    <row r="15" spans="1:5" ht="12.75">
      <c r="A15" s="66"/>
      <c r="B15" s="66"/>
      <c r="C15" s="67"/>
      <c r="D15" s="67"/>
      <c r="E15" s="67"/>
    </row>
    <row r="16" spans="1:5" ht="12.75">
      <c r="A16" s="2469" t="s">
        <v>172</v>
      </c>
      <c r="B16" s="2469"/>
      <c r="C16" s="2469"/>
      <c r="D16" s="2469"/>
      <c r="E16" s="2469"/>
    </row>
    <row r="18" spans="1:5" ht="15.75">
      <c r="A18" s="2495" t="s">
        <v>1372</v>
      </c>
      <c r="B18" s="2495"/>
      <c r="C18" s="2495"/>
      <c r="D18" s="2495"/>
      <c r="E18" s="73"/>
    </row>
    <row r="19" spans="1:5" ht="15.75">
      <c r="A19" s="80"/>
      <c r="B19" s="80"/>
      <c r="C19" s="80"/>
      <c r="D19" s="80"/>
      <c r="E19" s="81"/>
    </row>
    <row r="20" spans="1:5" ht="12.75">
      <c r="A20" s="2469" t="s">
        <v>215</v>
      </c>
      <c r="B20" s="2469"/>
      <c r="C20" s="2469"/>
      <c r="D20" s="2469"/>
      <c r="E20" s="2469"/>
    </row>
    <row r="22" spans="1:5" ht="15.75">
      <c r="A22" s="2495" t="s">
        <v>1368</v>
      </c>
      <c r="B22" s="2495"/>
      <c r="C22" s="2495"/>
      <c r="D22" s="2495"/>
      <c r="E22" s="78"/>
    </row>
    <row r="23" spans="1:5" ht="15.75">
      <c r="A23" s="80"/>
      <c r="B23" s="80"/>
      <c r="C23" s="80"/>
      <c r="D23" s="80"/>
      <c r="E23" s="82"/>
    </row>
    <row r="24" spans="1:5" ht="12.75">
      <c r="A24" s="2469" t="s">
        <v>205</v>
      </c>
      <c r="B24" s="2469"/>
      <c r="C24" s="2469"/>
      <c r="D24" s="2469"/>
      <c r="E24" s="2469"/>
    </row>
    <row r="25" spans="1:5" s="20" customFormat="1" ht="12.75">
      <c r="A25" s="349"/>
      <c r="B25" s="567" t="s">
        <v>1882</v>
      </c>
      <c r="C25" s="355">
        <f>10*10000*2</f>
        <v>200000</v>
      </c>
      <c r="D25" s="349"/>
      <c r="E25" s="349"/>
    </row>
    <row r="26" spans="1:5" s="20" customFormat="1" ht="12.75">
      <c r="A26" s="349"/>
      <c r="B26" s="567" t="s">
        <v>1883</v>
      </c>
      <c r="C26" s="355">
        <f>5*20000*2</f>
        <v>200000</v>
      </c>
      <c r="D26" s="349"/>
      <c r="E26" s="349"/>
    </row>
    <row r="27" spans="1:5" ht="12.75">
      <c r="A27" s="648">
        <v>5831181</v>
      </c>
      <c r="B27" s="364" t="s">
        <v>1521</v>
      </c>
      <c r="C27" s="649">
        <f>500*5800*2</f>
        <v>5800000</v>
      </c>
      <c r="D27" s="649">
        <f>+ROUND(C27,-3)</f>
        <v>5800000</v>
      </c>
      <c r="E27" s="93">
        <f>+D27/1000</f>
        <v>5800</v>
      </c>
    </row>
    <row r="28" spans="1:5" ht="12.75">
      <c r="A28" s="364"/>
      <c r="B28" s="301" t="s">
        <v>1871</v>
      </c>
      <c r="C28" s="364"/>
      <c r="D28" s="364"/>
      <c r="E28" s="50"/>
    </row>
    <row r="29" spans="1:5" ht="15.75">
      <c r="A29" s="2490" t="s">
        <v>214</v>
      </c>
      <c r="B29" s="2490"/>
      <c r="C29" s="2490"/>
      <c r="D29" s="2490"/>
      <c r="E29" s="505">
        <f>+E27</f>
        <v>5800</v>
      </c>
    </row>
    <row r="30" spans="1:5" ht="12.75">
      <c r="A30" s="83"/>
      <c r="B30" s="83"/>
      <c r="C30" s="83"/>
      <c r="D30" s="83"/>
      <c r="E30" s="56"/>
    </row>
    <row r="31" spans="1:5" ht="12.75">
      <c r="A31" s="2469" t="s">
        <v>185</v>
      </c>
      <c r="B31" s="2469"/>
      <c r="C31" s="2469"/>
      <c r="D31" s="2469"/>
      <c r="E31" s="2469"/>
    </row>
    <row r="33" spans="1:5" ht="15.75">
      <c r="A33" s="2495" t="s">
        <v>186</v>
      </c>
      <c r="B33" s="2495"/>
      <c r="C33" s="2495"/>
      <c r="D33" s="2495"/>
      <c r="E33" s="78"/>
    </row>
    <row r="35" spans="1:5" ht="15.75">
      <c r="A35" s="2493" t="s">
        <v>1375</v>
      </c>
      <c r="B35" s="2493"/>
      <c r="C35" s="2493"/>
      <c r="D35" s="2493"/>
      <c r="E35" s="79">
        <f>+E33+E22+E18+E13+E7+E29</f>
        <v>5800</v>
      </c>
    </row>
  </sheetData>
  <sheetProtection/>
  <mergeCells count="16">
    <mergeCell ref="A10:E10"/>
    <mergeCell ref="B1:C1"/>
    <mergeCell ref="B2:C2"/>
    <mergeCell ref="A4:E4"/>
    <mergeCell ref="A5:E5"/>
    <mergeCell ref="A7:D7"/>
    <mergeCell ref="A13:D13"/>
    <mergeCell ref="A16:E16"/>
    <mergeCell ref="A18:D18"/>
    <mergeCell ref="A20:E20"/>
    <mergeCell ref="A35:D35"/>
    <mergeCell ref="A22:D22"/>
    <mergeCell ref="A24:E24"/>
    <mergeCell ref="A29:D29"/>
    <mergeCell ref="A31:E31"/>
    <mergeCell ref="A33:D3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1"/>
  </sheetPr>
  <dimension ref="A1:E11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4.28125" style="0" bestFit="1" customWidth="1"/>
    <col min="5" max="5" width="7.00390625" style="0" bestFit="1" customWidth="1"/>
  </cols>
  <sheetData>
    <row r="1" spans="1:5" ht="12.75">
      <c r="A1" s="2514" t="s">
        <v>1</v>
      </c>
      <c r="B1" s="2514"/>
      <c r="C1" s="2514"/>
      <c r="D1" s="2514"/>
      <c r="E1" s="2514"/>
    </row>
    <row r="3" spans="1:5" ht="12.75">
      <c r="A3" s="2514" t="s">
        <v>1885</v>
      </c>
      <c r="B3" s="2514"/>
      <c r="C3" s="2514"/>
      <c r="D3" s="2514"/>
      <c r="E3" s="2514"/>
    </row>
    <row r="5" spans="1:5" ht="12.75">
      <c r="A5" s="2469" t="s">
        <v>205</v>
      </c>
      <c r="B5" s="2469"/>
      <c r="C5" s="2469"/>
      <c r="D5" s="2469"/>
      <c r="E5" s="2469"/>
    </row>
    <row r="6" spans="1:5" ht="12.75">
      <c r="A6" s="46">
        <v>5831184</v>
      </c>
      <c r="B6" s="47" t="s">
        <v>1881</v>
      </c>
      <c r="C6" s="669"/>
      <c r="D6" s="670">
        <f>+C7+C8</f>
        <v>300000</v>
      </c>
      <c r="E6" s="528">
        <f>+ROUND(D6,-3)/1000</f>
        <v>300</v>
      </c>
    </row>
    <row r="7" spans="1:5" ht="12.75">
      <c r="A7" s="349"/>
      <c r="B7" s="567" t="s">
        <v>1882</v>
      </c>
      <c r="C7" s="355">
        <f>10*10000*2</f>
        <v>200000</v>
      </c>
      <c r="D7" s="349"/>
      <c r="E7" s="349"/>
    </row>
    <row r="8" spans="1:5" ht="12.75">
      <c r="A8" s="349"/>
      <c r="B8" s="567" t="s">
        <v>208</v>
      </c>
      <c r="C8" s="355">
        <f>5*20000</f>
        <v>100000</v>
      </c>
      <c r="D8" s="349"/>
      <c r="E8" s="349"/>
    </row>
    <row r="9" spans="1:5" ht="12.75">
      <c r="A9" s="648"/>
      <c r="B9" s="364"/>
      <c r="C9" s="649"/>
      <c r="D9" s="649"/>
      <c r="E9" s="93"/>
    </row>
    <row r="10" spans="1:5" ht="12.75">
      <c r="A10" s="364"/>
      <c r="B10" s="301"/>
      <c r="C10" s="364"/>
      <c r="D10" s="364"/>
      <c r="E10" s="50"/>
    </row>
    <row r="11" spans="1:5" ht="15.75">
      <c r="A11" s="2490" t="s">
        <v>214</v>
      </c>
      <c r="B11" s="2490"/>
      <c r="C11" s="2490"/>
      <c r="D11" s="2490"/>
      <c r="E11" s="505">
        <f>+E9+E6</f>
        <v>300</v>
      </c>
    </row>
  </sheetData>
  <sheetProtection/>
  <mergeCells count="4">
    <mergeCell ref="A5:E5"/>
    <mergeCell ref="A11:D11"/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1"/>
  </sheetPr>
  <dimension ref="A1:E33"/>
  <sheetViews>
    <sheetView view="pageBreakPreview" zoomScaleNormal="85" zoomScaleSheetLayoutView="100" zoomScalePageLayoutView="0" workbookViewId="0" topLeftCell="A16">
      <selection activeCell="C28" sqref="C28"/>
    </sheetView>
  </sheetViews>
  <sheetFormatPr defaultColWidth="9.140625" defaultRowHeight="19.5" customHeight="1"/>
  <cols>
    <col min="1" max="1" width="12.7109375" style="98" customWidth="1"/>
    <col min="2" max="2" width="38.00390625" style="98" customWidth="1"/>
    <col min="3" max="3" width="12.7109375" style="98" bestFit="1" customWidth="1"/>
    <col min="4" max="4" width="12.8515625" style="98" customWidth="1"/>
    <col min="5" max="5" width="10.140625" style="98" customWidth="1"/>
    <col min="6" max="6" width="10.57421875" style="98" bestFit="1" customWidth="1"/>
    <col min="7" max="16384" width="9.140625" style="98" customWidth="1"/>
  </cols>
  <sheetData>
    <row r="1" spans="1:4" ht="19.5" customHeight="1">
      <c r="A1" s="128"/>
      <c r="B1" s="2540" t="s">
        <v>1</v>
      </c>
      <c r="C1" s="2549"/>
      <c r="D1" s="128"/>
    </row>
    <row r="2" spans="1:4" ht="19.5" customHeight="1">
      <c r="A2" s="2540" t="s">
        <v>1044</v>
      </c>
      <c r="B2" s="2550"/>
      <c r="C2" s="2550"/>
      <c r="D2" s="2550"/>
    </row>
    <row r="4" spans="1:5" ht="19.5" customHeight="1">
      <c r="A4" s="2483" t="s">
        <v>1373</v>
      </c>
      <c r="B4" s="2483"/>
      <c r="C4" s="2483"/>
      <c r="D4" s="2483"/>
      <c r="E4" s="2483"/>
    </row>
    <row r="5" spans="1:5" ht="19.5" customHeight="1">
      <c r="A5" s="2488" t="s">
        <v>165</v>
      </c>
      <c r="B5" s="2488"/>
      <c r="C5" s="2488"/>
      <c r="D5" s="2488"/>
      <c r="E5" s="2488"/>
    </row>
    <row r="6" spans="1:5" ht="19.5" customHeight="1">
      <c r="A6" s="108"/>
      <c r="B6" s="108"/>
      <c r="C6" s="109"/>
      <c r="D6" s="109"/>
      <c r="E6" s="109"/>
    </row>
    <row r="7" spans="1:5" ht="19.5" customHeight="1">
      <c r="A7" s="2489" t="s">
        <v>169</v>
      </c>
      <c r="B7" s="2489"/>
      <c r="C7" s="2489"/>
      <c r="D7" s="2489"/>
      <c r="E7" s="110"/>
    </row>
    <row r="8" spans="1:5" ht="19.5" customHeight="1">
      <c r="A8" s="108"/>
      <c r="B8" s="108"/>
      <c r="C8" s="109"/>
      <c r="D8" s="109"/>
      <c r="E8" s="109"/>
    </row>
    <row r="9" spans="1:5" ht="19.5" customHeight="1">
      <c r="A9" s="108"/>
      <c r="B9" s="108"/>
      <c r="C9" s="109"/>
      <c r="D9" s="109"/>
      <c r="E9" s="109"/>
    </row>
    <row r="10" spans="1:5" ht="19.5" customHeight="1">
      <c r="A10" s="2500" t="s">
        <v>170</v>
      </c>
      <c r="B10" s="2501"/>
      <c r="C10" s="2501"/>
      <c r="D10" s="2501"/>
      <c r="E10" s="2501"/>
    </row>
    <row r="11" spans="1:5" ht="19.5" customHeight="1">
      <c r="A11" s="108"/>
      <c r="B11" s="108"/>
      <c r="C11" s="109"/>
      <c r="D11" s="109"/>
      <c r="E11" s="109"/>
    </row>
    <row r="12" spans="1:5" ht="19.5" customHeight="1">
      <c r="A12" s="108"/>
      <c r="B12" s="108"/>
      <c r="C12" s="109"/>
      <c r="D12" s="109"/>
      <c r="E12" s="109"/>
    </row>
    <row r="13" spans="1:5" ht="19.5" customHeight="1">
      <c r="A13" s="2489" t="s">
        <v>1386</v>
      </c>
      <c r="B13" s="2489"/>
      <c r="C13" s="2489"/>
      <c r="D13" s="2489"/>
      <c r="E13" s="110"/>
    </row>
    <row r="14" spans="1:5" ht="19.5" customHeight="1">
      <c r="A14" s="108"/>
      <c r="B14" s="108"/>
      <c r="C14" s="109"/>
      <c r="D14" s="109"/>
      <c r="E14" s="109"/>
    </row>
    <row r="15" spans="1:5" ht="19.5" customHeight="1">
      <c r="A15" s="108"/>
      <c r="B15" s="108"/>
      <c r="C15" s="109"/>
      <c r="D15" s="109"/>
      <c r="E15" s="109"/>
    </row>
    <row r="16" spans="1:5" ht="19.5" customHeight="1">
      <c r="A16" s="2488" t="s">
        <v>172</v>
      </c>
      <c r="B16" s="2488"/>
      <c r="C16" s="2488"/>
      <c r="D16" s="2488"/>
      <c r="E16" s="2488"/>
    </row>
    <row r="18" spans="1:5" ht="19.5" customHeight="1">
      <c r="A18" s="2489" t="s">
        <v>1372</v>
      </c>
      <c r="B18" s="2489"/>
      <c r="C18" s="2489"/>
      <c r="D18" s="2489"/>
      <c r="E18" s="115"/>
    </row>
    <row r="19" spans="1:5" ht="19.5" customHeight="1">
      <c r="A19" s="131"/>
      <c r="B19" s="131"/>
      <c r="C19" s="131"/>
      <c r="D19" s="131"/>
      <c r="E19" s="132"/>
    </row>
    <row r="20" spans="1:5" ht="19.5" customHeight="1">
      <c r="A20" s="2488" t="s">
        <v>215</v>
      </c>
      <c r="B20" s="2488"/>
      <c r="C20" s="2488"/>
      <c r="D20" s="2488"/>
      <c r="E20" s="2488"/>
    </row>
    <row r="22" spans="1:5" ht="19.5" customHeight="1">
      <c r="A22" s="2489" t="s">
        <v>1368</v>
      </c>
      <c r="B22" s="2489"/>
      <c r="C22" s="2489"/>
      <c r="D22" s="2489"/>
      <c r="E22" s="116"/>
    </row>
    <row r="23" spans="1:5" ht="19.5" customHeight="1">
      <c r="A23" s="131"/>
      <c r="B23" s="131"/>
      <c r="C23" s="131"/>
      <c r="D23" s="131"/>
      <c r="E23" s="135"/>
    </row>
    <row r="24" spans="1:5" ht="19.5" customHeight="1">
      <c r="A24" s="2488" t="s">
        <v>205</v>
      </c>
      <c r="B24" s="2488"/>
      <c r="C24" s="2488"/>
      <c r="D24" s="2488"/>
      <c r="E24" s="2488"/>
    </row>
    <row r="25" spans="1:5" ht="15">
      <c r="A25" s="648">
        <v>5831112</v>
      </c>
      <c r="B25" s="364" t="s">
        <v>1522</v>
      </c>
      <c r="C25" s="651">
        <f>SUM(C26:C26)</f>
        <v>12960000</v>
      </c>
      <c r="D25" s="651">
        <f>C25</f>
        <v>12960000</v>
      </c>
      <c r="E25" s="93">
        <f>+D25/1000</f>
        <v>12960</v>
      </c>
    </row>
    <row r="26" spans="1:5" ht="15">
      <c r="A26" s="354"/>
      <c r="B26" s="354" t="s">
        <v>453</v>
      </c>
      <c r="C26" s="530">
        <f>36*30000*12</f>
        <v>12960000</v>
      </c>
      <c r="D26" s="354"/>
      <c r="E26" s="354"/>
    </row>
    <row r="27" spans="1:5" ht="15">
      <c r="A27" s="648">
        <v>583111112</v>
      </c>
      <c r="B27" s="640" t="s">
        <v>209</v>
      </c>
      <c r="C27" s="651">
        <f>C28+C29</f>
        <v>101232000</v>
      </c>
      <c r="D27" s="651"/>
      <c r="E27" s="93">
        <f>C27/1000</f>
        <v>101232</v>
      </c>
    </row>
    <row r="28" spans="1:5" ht="19.5" customHeight="1">
      <c r="A28" s="648"/>
      <c r="B28" s="301" t="s">
        <v>196</v>
      </c>
      <c r="C28" s="651">
        <f>370*12*22800</f>
        <v>101232000</v>
      </c>
      <c r="D28" s="651"/>
      <c r="E28" s="93"/>
    </row>
    <row r="29" spans="1:5" ht="19.5" customHeight="1">
      <c r="A29" s="648"/>
      <c r="B29" s="301"/>
      <c r="C29" s="651"/>
      <c r="D29" s="651"/>
      <c r="E29" s="93"/>
    </row>
    <row r="30" spans="1:5" ht="19.5" customHeight="1">
      <c r="A30" s="654"/>
      <c r="B30" s="654"/>
      <c r="C30" s="654"/>
      <c r="D30" s="654"/>
      <c r="E30" s="289"/>
    </row>
    <row r="31" spans="1:5" ht="19.5" customHeight="1">
      <c r="A31" s="2491" t="s">
        <v>214</v>
      </c>
      <c r="B31" s="2491"/>
      <c r="C31" s="2491"/>
      <c r="D31" s="2491"/>
      <c r="E31" s="655">
        <f>+E25+E27</f>
        <v>114192</v>
      </c>
    </row>
    <row r="33" spans="1:5" ht="19.5" customHeight="1">
      <c r="A33" s="2492" t="s">
        <v>1375</v>
      </c>
      <c r="B33" s="2492"/>
      <c r="C33" s="2492"/>
      <c r="D33" s="2492"/>
      <c r="E33" s="117">
        <f>E22+E18+E13+E7+E31</f>
        <v>114192</v>
      </c>
    </row>
  </sheetData>
  <sheetProtection/>
  <mergeCells count="14">
    <mergeCell ref="A18:D18"/>
    <mergeCell ref="A20:E20"/>
    <mergeCell ref="A33:D33"/>
    <mergeCell ref="A22:D22"/>
    <mergeCell ref="A24:E24"/>
    <mergeCell ref="A31:D31"/>
    <mergeCell ref="A13:D13"/>
    <mergeCell ref="A16:E16"/>
    <mergeCell ref="B1:C1"/>
    <mergeCell ref="A2:D2"/>
    <mergeCell ref="A4:E4"/>
    <mergeCell ref="A5:E5"/>
    <mergeCell ref="A7:D7"/>
    <mergeCell ref="A10:E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1"/>
  </sheetPr>
  <dimension ref="A1:E72"/>
  <sheetViews>
    <sheetView view="pageBreakPreview" zoomScaleNormal="85" zoomScaleSheetLayoutView="100" zoomScalePageLayoutView="0" workbookViewId="0" topLeftCell="A40">
      <selection activeCell="B2" sqref="B2:E2"/>
    </sheetView>
  </sheetViews>
  <sheetFormatPr defaultColWidth="9.140625" defaultRowHeight="12.75"/>
  <cols>
    <col min="1" max="1" width="21.140625" style="98" customWidth="1"/>
    <col min="2" max="2" width="50.421875" style="98" customWidth="1"/>
    <col min="3" max="3" width="11.421875" style="98" customWidth="1"/>
    <col min="4" max="4" width="12.421875" style="98" customWidth="1"/>
    <col min="5" max="5" width="7.140625" style="98" customWidth="1"/>
    <col min="6" max="6" width="10.421875" style="98" bestFit="1" customWidth="1"/>
    <col min="7" max="16384" width="9.140625" style="98" customWidth="1"/>
  </cols>
  <sheetData>
    <row r="1" spans="2:5" ht="23.25" customHeight="1">
      <c r="B1" s="2530" t="s">
        <v>1</v>
      </c>
      <c r="C1" s="2551"/>
      <c r="D1" s="2551"/>
      <c r="E1" s="2551"/>
    </row>
    <row r="2" spans="2:5" ht="21" customHeight="1">
      <c r="B2" s="2530" t="s">
        <v>1051</v>
      </c>
      <c r="C2" s="2530"/>
      <c r="D2" s="2530"/>
      <c r="E2" s="2530"/>
    </row>
    <row r="4" spans="1:5" ht="15">
      <c r="A4" s="2483" t="s">
        <v>1373</v>
      </c>
      <c r="B4" s="2483"/>
      <c r="C4" s="2483"/>
      <c r="D4" s="2483"/>
      <c r="E4" s="2483"/>
    </row>
    <row r="5" spans="1:5" ht="15">
      <c r="A5" s="2488" t="s">
        <v>165</v>
      </c>
      <c r="B5" s="2488"/>
      <c r="C5" s="2488"/>
      <c r="D5" s="2488"/>
      <c r="E5" s="2488"/>
    </row>
    <row r="6" spans="1:5" ht="15">
      <c r="A6" s="108"/>
      <c r="B6" s="108"/>
      <c r="C6" s="109"/>
      <c r="D6" s="109"/>
      <c r="E6" s="109"/>
    </row>
    <row r="7" spans="1:5" ht="15.75">
      <c r="A7" s="2489" t="s">
        <v>169</v>
      </c>
      <c r="B7" s="2489"/>
      <c r="C7" s="2489"/>
      <c r="D7" s="2489"/>
      <c r="E7" s="110"/>
    </row>
    <row r="8" spans="1:5" ht="15">
      <c r="A8" s="108"/>
      <c r="B8" s="108"/>
      <c r="C8" s="109"/>
      <c r="D8" s="109"/>
      <c r="E8" s="109"/>
    </row>
    <row r="9" spans="1:5" ht="15">
      <c r="A9" s="108"/>
      <c r="B9" s="108"/>
      <c r="C9" s="109"/>
      <c r="D9" s="109"/>
      <c r="E9" s="109"/>
    </row>
    <row r="10" spans="1:5" ht="15">
      <c r="A10" s="2500" t="s">
        <v>170</v>
      </c>
      <c r="B10" s="2501"/>
      <c r="C10" s="2501"/>
      <c r="D10" s="2501"/>
      <c r="E10" s="2501"/>
    </row>
    <row r="11" spans="1:5" ht="15">
      <c r="A11" s="108"/>
      <c r="B11" s="108"/>
      <c r="C11" s="109"/>
      <c r="D11" s="109"/>
      <c r="E11" s="109"/>
    </row>
    <row r="12" spans="1:5" ht="15.75">
      <c r="A12" s="2489" t="s">
        <v>1386</v>
      </c>
      <c r="B12" s="2489"/>
      <c r="C12" s="2489"/>
      <c r="D12" s="2489"/>
      <c r="E12" s="110"/>
    </row>
    <row r="13" spans="1:5" ht="15">
      <c r="A13" s="108"/>
      <c r="B13" s="108"/>
      <c r="C13" s="109"/>
      <c r="D13" s="109"/>
      <c r="E13" s="109"/>
    </row>
    <row r="14" spans="1:5" ht="15">
      <c r="A14" s="108"/>
      <c r="B14" s="108"/>
      <c r="C14" s="109"/>
      <c r="D14" s="109"/>
      <c r="E14" s="109"/>
    </row>
    <row r="15" spans="1:5" ht="15">
      <c r="A15" s="2488" t="s">
        <v>172</v>
      </c>
      <c r="B15" s="2488"/>
      <c r="C15" s="2488"/>
      <c r="D15" s="2488"/>
      <c r="E15" s="2488"/>
    </row>
    <row r="17" spans="1:5" ht="15.75">
      <c r="A17" s="2489" t="s">
        <v>1372</v>
      </c>
      <c r="B17" s="2489"/>
      <c r="C17" s="2489"/>
      <c r="D17" s="2489"/>
      <c r="E17" s="115"/>
    </row>
    <row r="18" spans="1:5" ht="15.75">
      <c r="A18" s="131"/>
      <c r="B18" s="131"/>
      <c r="C18" s="131"/>
      <c r="D18" s="131"/>
      <c r="E18" s="132"/>
    </row>
    <row r="19" spans="1:5" ht="15">
      <c r="A19" s="2488" t="s">
        <v>215</v>
      </c>
      <c r="B19" s="2488"/>
      <c r="C19" s="2488"/>
      <c r="D19" s="2488"/>
      <c r="E19" s="2488"/>
    </row>
    <row r="21" spans="1:5" ht="15.75">
      <c r="A21" s="2489" t="s">
        <v>1368</v>
      </c>
      <c r="B21" s="2489"/>
      <c r="C21" s="2489"/>
      <c r="D21" s="2489"/>
      <c r="E21" s="116"/>
    </row>
    <row r="22" spans="1:5" ht="15.75">
      <c r="A22" s="131"/>
      <c r="B22" s="131"/>
      <c r="C22" s="131"/>
      <c r="D22" s="131"/>
      <c r="E22" s="135"/>
    </row>
    <row r="23" spans="1:5" ht="15">
      <c r="A23" s="2488" t="s">
        <v>205</v>
      </c>
      <c r="B23" s="2488"/>
      <c r="C23" s="2488"/>
      <c r="D23" s="2488"/>
      <c r="E23" s="2488"/>
    </row>
    <row r="24" spans="1:5" ht="15">
      <c r="A24" s="103"/>
      <c r="B24" s="103"/>
      <c r="C24" s="103"/>
      <c r="D24" s="103"/>
      <c r="E24" s="103"/>
    </row>
    <row r="25" spans="1:5" ht="15.75">
      <c r="A25" s="169" t="s">
        <v>1047</v>
      </c>
      <c r="B25" s="140"/>
      <c r="C25" s="103"/>
      <c r="D25" s="103"/>
      <c r="E25" s="103"/>
    </row>
    <row r="26" spans="1:5" s="30" customFormat="1" ht="15.75">
      <c r="A26" s="352"/>
      <c r="B26" s="352"/>
      <c r="C26" s="351"/>
      <c r="D26" s="351"/>
      <c r="E26" s="353"/>
    </row>
    <row r="27" spans="1:5" ht="15">
      <c r="A27" s="123"/>
      <c r="B27" s="123"/>
      <c r="C27" s="136"/>
      <c r="D27" s="123"/>
      <c r="E27" s="123"/>
    </row>
    <row r="28" spans="1:5" ht="15.75">
      <c r="A28" s="656" t="s">
        <v>1052</v>
      </c>
      <c r="B28" s="654" t="s">
        <v>1523</v>
      </c>
      <c r="C28" s="657">
        <v>0</v>
      </c>
      <c r="D28" s="657">
        <f>C28</f>
        <v>0</v>
      </c>
      <c r="E28" s="658">
        <f>+D28/1000</f>
        <v>0</v>
      </c>
    </row>
    <row r="29" spans="1:5" ht="15.75">
      <c r="A29" s="659"/>
      <c r="B29" s="660"/>
      <c r="C29" s="338"/>
      <c r="D29" s="657"/>
      <c r="E29" s="658"/>
    </row>
    <row r="30" spans="1:5" ht="15.75">
      <c r="A30" s="659">
        <v>5831171882122</v>
      </c>
      <c r="B30" s="654" t="s">
        <v>176</v>
      </c>
      <c r="C30" s="661">
        <f>300*3000*3</f>
        <v>2700000</v>
      </c>
      <c r="D30" s="657">
        <f>+ROUND(C30,-3)</f>
        <v>2700000</v>
      </c>
      <c r="E30" s="658">
        <f>+D30/1000</f>
        <v>2700</v>
      </c>
    </row>
    <row r="31" spans="1:5" ht="15.75">
      <c r="A31" s="659"/>
      <c r="B31" s="662" t="s">
        <v>1872</v>
      </c>
      <c r="C31" s="106"/>
      <c r="D31" s="654"/>
      <c r="E31" s="289"/>
    </row>
    <row r="32" spans="1:5" ht="15.75">
      <c r="A32" s="656" t="s">
        <v>1053</v>
      </c>
      <c r="B32" s="654" t="s">
        <v>177</v>
      </c>
      <c r="C32" s="657">
        <v>0</v>
      </c>
      <c r="D32" s="657">
        <f>+ROUND(C32,-3)</f>
        <v>0</v>
      </c>
      <c r="E32" s="658">
        <f>+D32/1000</f>
        <v>0</v>
      </c>
    </row>
    <row r="33" spans="1:5" ht="15.75">
      <c r="A33" s="659"/>
      <c r="B33" s="662"/>
      <c r="C33" s="654"/>
      <c r="D33" s="654"/>
      <c r="E33" s="289"/>
    </row>
    <row r="34" spans="1:5" ht="15.75">
      <c r="A34" s="656" t="s">
        <v>1054</v>
      </c>
      <c r="B34" s="654" t="s">
        <v>1380</v>
      </c>
      <c r="C34" s="657">
        <f>5*130000</f>
        <v>650000</v>
      </c>
      <c r="D34" s="657">
        <f>C34</f>
        <v>650000</v>
      </c>
      <c r="E34" s="658">
        <f>+D34/1000</f>
        <v>650</v>
      </c>
    </row>
    <row r="35" spans="1:5" ht="15.75">
      <c r="A35" s="659"/>
      <c r="B35" s="662" t="s">
        <v>211</v>
      </c>
      <c r="C35" s="657"/>
      <c r="D35" s="657"/>
      <c r="E35" s="658"/>
    </row>
    <row r="36" spans="1:5" ht="15.75">
      <c r="A36" s="656" t="s">
        <v>1055</v>
      </c>
      <c r="B36" s="663" t="s">
        <v>1179</v>
      </c>
      <c r="C36" s="657">
        <f>10*40000</f>
        <v>400000</v>
      </c>
      <c r="D36" s="657">
        <f>+ROUND(C36,-3)</f>
        <v>400000</v>
      </c>
      <c r="E36" s="658">
        <f>+D36/1000</f>
        <v>400</v>
      </c>
    </row>
    <row r="37" spans="1:5" ht="15.75">
      <c r="A37" s="659"/>
      <c r="B37" s="662" t="s">
        <v>1018</v>
      </c>
      <c r="C37" s="654"/>
      <c r="D37" s="654"/>
      <c r="E37" s="289"/>
    </row>
    <row r="38" spans="1:5" ht="15.75">
      <c r="A38" s="659">
        <v>5831191882125</v>
      </c>
      <c r="B38" s="654" t="s">
        <v>1524</v>
      </c>
      <c r="C38" s="657">
        <f>110*8000</f>
        <v>880000</v>
      </c>
      <c r="D38" s="657">
        <f>+ROUND(C38,-3)</f>
        <v>880000</v>
      </c>
      <c r="E38" s="658">
        <f>+D38/1000</f>
        <v>880</v>
      </c>
    </row>
    <row r="39" spans="1:5" ht="15.75">
      <c r="A39" s="659"/>
      <c r="B39" s="664" t="s">
        <v>1180</v>
      </c>
      <c r="C39" s="654"/>
      <c r="D39" s="654"/>
      <c r="E39" s="289"/>
    </row>
    <row r="40" spans="1:5" ht="15.75">
      <c r="A40" s="656" t="s">
        <v>1056</v>
      </c>
      <c r="B40" s="654" t="s">
        <v>1525</v>
      </c>
      <c r="C40" s="657">
        <v>2882880</v>
      </c>
      <c r="D40" s="657">
        <f>+ROUND(C40,-3)</f>
        <v>2883000</v>
      </c>
      <c r="E40" s="658">
        <f>+D40/1000</f>
        <v>2883</v>
      </c>
    </row>
    <row r="41" spans="1:5" ht="15.75">
      <c r="A41" s="659"/>
      <c r="B41" s="654"/>
      <c r="C41" s="654"/>
      <c r="D41" s="654"/>
      <c r="E41" s="289"/>
    </row>
    <row r="42" spans="1:5" ht="15.75">
      <c r="A42" s="2491" t="s">
        <v>214</v>
      </c>
      <c r="B42" s="2491"/>
      <c r="C42" s="2491"/>
      <c r="D42" s="2491"/>
      <c r="E42" s="655">
        <f>SUM(E28:E41)</f>
        <v>7513</v>
      </c>
    </row>
    <row r="43" spans="1:5" ht="15.75">
      <c r="A43" s="131"/>
      <c r="B43" s="131"/>
      <c r="C43" s="131"/>
      <c r="D43" s="131"/>
      <c r="E43" s="135"/>
    </row>
    <row r="44" spans="1:5" ht="15">
      <c r="A44" s="2488" t="s">
        <v>185</v>
      </c>
      <c r="B44" s="2488"/>
      <c r="C44" s="2488"/>
      <c r="D44" s="2488"/>
      <c r="E44" s="2488"/>
    </row>
    <row r="46" spans="1:5" ht="15.75">
      <c r="A46" s="2489" t="s">
        <v>186</v>
      </c>
      <c r="B46" s="2489"/>
      <c r="C46" s="2489"/>
      <c r="D46" s="2489"/>
      <c r="E46" s="116"/>
    </row>
    <row r="48" spans="1:5" ht="15.75">
      <c r="A48" s="2492" t="s">
        <v>1375</v>
      </c>
      <c r="B48" s="2492"/>
      <c r="C48" s="2492"/>
      <c r="D48" s="2492"/>
      <c r="E48" s="117">
        <f>+E46+E21+E17+E12+E7+E42</f>
        <v>7513</v>
      </c>
    </row>
    <row r="51" spans="1:5" ht="15">
      <c r="A51" s="2483" t="s">
        <v>1374</v>
      </c>
      <c r="B51" s="2483"/>
      <c r="C51" s="2483"/>
      <c r="D51" s="2483"/>
      <c r="E51" s="2483"/>
    </row>
    <row r="53" spans="1:5" ht="15">
      <c r="A53" s="2488" t="s">
        <v>187</v>
      </c>
      <c r="B53" s="2488"/>
      <c r="C53" s="2488"/>
      <c r="D53" s="2488"/>
      <c r="E53" s="2488"/>
    </row>
    <row r="55" spans="1:5" ht="15.75">
      <c r="A55" s="2489" t="s">
        <v>677</v>
      </c>
      <c r="B55" s="2489"/>
      <c r="C55" s="2489"/>
      <c r="D55" s="2489"/>
      <c r="E55" s="115"/>
    </row>
    <row r="57" spans="1:5" ht="15">
      <c r="A57" s="2488" t="s">
        <v>678</v>
      </c>
      <c r="B57" s="2488"/>
      <c r="C57" s="2488"/>
      <c r="D57" s="2488"/>
      <c r="E57" s="2488"/>
    </row>
    <row r="59" spans="1:5" ht="15.75">
      <c r="A59" s="2489" t="s">
        <v>687</v>
      </c>
      <c r="B59" s="2489"/>
      <c r="C59" s="2489"/>
      <c r="D59" s="2489"/>
      <c r="E59" s="115"/>
    </row>
    <row r="61" spans="1:5" ht="15">
      <c r="A61" s="2488" t="s">
        <v>688</v>
      </c>
      <c r="B61" s="2488"/>
      <c r="C61" s="2488"/>
      <c r="D61" s="2488"/>
      <c r="E61" s="2488"/>
    </row>
    <row r="63" spans="1:5" ht="15.75">
      <c r="A63" s="2489" t="s">
        <v>204</v>
      </c>
      <c r="B63" s="2489"/>
      <c r="C63" s="2489"/>
      <c r="D63" s="2489"/>
      <c r="E63" s="115"/>
    </row>
    <row r="65" spans="1:5" ht="15">
      <c r="A65" s="2488" t="s">
        <v>689</v>
      </c>
      <c r="B65" s="2488"/>
      <c r="C65" s="2488"/>
      <c r="D65" s="2488"/>
      <c r="E65" s="2488"/>
    </row>
    <row r="66" spans="1:5" s="133" customFormat="1" ht="15">
      <c r="A66" s="123"/>
      <c r="B66" s="123"/>
      <c r="C66" s="123"/>
      <c r="D66" s="123"/>
      <c r="E66" s="123"/>
    </row>
    <row r="67" spans="1:5" s="133" customFormat="1" ht="15">
      <c r="A67" s="123"/>
      <c r="B67" s="123" t="s">
        <v>210</v>
      </c>
      <c r="C67" s="136"/>
      <c r="D67" s="123"/>
      <c r="E67" s="123"/>
    </row>
    <row r="68" spans="1:5" s="133" customFormat="1" ht="15.75">
      <c r="A68" s="137">
        <v>464112</v>
      </c>
      <c r="B68" s="137" t="s">
        <v>1410</v>
      </c>
      <c r="C68" s="138">
        <f>50*8000</f>
        <v>400000</v>
      </c>
      <c r="D68" s="138">
        <f>+ROUND(C68,-3)</f>
        <v>400000</v>
      </c>
      <c r="E68" s="139">
        <f>+D68/1000</f>
        <v>400</v>
      </c>
    </row>
    <row r="69" s="133" customFormat="1" ht="15"/>
    <row r="70" spans="1:5" ht="15.75">
      <c r="A70" s="2489" t="s">
        <v>197</v>
      </c>
      <c r="B70" s="2489"/>
      <c r="C70" s="2489"/>
      <c r="D70" s="2489"/>
      <c r="E70" s="115">
        <f>+E68</f>
        <v>400</v>
      </c>
    </row>
    <row r="72" spans="1:5" ht="15.75">
      <c r="A72" s="2492" t="s">
        <v>1376</v>
      </c>
      <c r="B72" s="2492"/>
      <c r="C72" s="2492"/>
      <c r="D72" s="2492"/>
      <c r="E72" s="117">
        <f>+E70+E63+E59+E55</f>
        <v>400</v>
      </c>
    </row>
  </sheetData>
  <sheetProtection/>
  <mergeCells count="26">
    <mergeCell ref="B2:E2"/>
    <mergeCell ref="B1:E1"/>
    <mergeCell ref="A63:D63"/>
    <mergeCell ref="A65:E65"/>
    <mergeCell ref="A46:D46"/>
    <mergeCell ref="A48:D48"/>
    <mergeCell ref="A51:E51"/>
    <mergeCell ref="A53:E53"/>
    <mergeCell ref="A21:D21"/>
    <mergeCell ref="A23:E23"/>
    <mergeCell ref="A42:D42"/>
    <mergeCell ref="A44:E44"/>
    <mergeCell ref="A12:D12"/>
    <mergeCell ref="A15:E15"/>
    <mergeCell ref="A17:D17"/>
    <mergeCell ref="A19:E19"/>
    <mergeCell ref="A70:D70"/>
    <mergeCell ref="A4:E4"/>
    <mergeCell ref="A72:D72"/>
    <mergeCell ref="A55:D55"/>
    <mergeCell ref="A57:E57"/>
    <mergeCell ref="A59:D59"/>
    <mergeCell ref="A61:E61"/>
    <mergeCell ref="A5:E5"/>
    <mergeCell ref="A7:D7"/>
    <mergeCell ref="A10:E10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P39"/>
  <sheetViews>
    <sheetView view="pageBreakPreview" zoomScale="80" zoomScaleSheetLayoutView="80" zoomScalePageLayoutView="0" workbookViewId="0" topLeftCell="M1">
      <selection activeCell="AP23" sqref="AP23"/>
    </sheetView>
  </sheetViews>
  <sheetFormatPr defaultColWidth="9.140625" defaultRowHeight="12.75"/>
  <cols>
    <col min="1" max="1" width="32.00390625" style="0" customWidth="1"/>
    <col min="2" max="2" width="10.8515625" style="0" customWidth="1"/>
    <col min="3" max="5" width="11.00390625" style="0" customWidth="1"/>
    <col min="6" max="6" width="10.28125" style="0" customWidth="1"/>
    <col min="7" max="9" width="10.57421875" style="0" customWidth="1"/>
    <col min="10" max="10" width="9.8515625" style="0" customWidth="1"/>
    <col min="11" max="13" width="11.140625" style="0" customWidth="1"/>
    <col min="14" max="14" width="11.28125" style="0" customWidth="1"/>
    <col min="15" max="17" width="10.28125" style="0" customWidth="1"/>
    <col min="18" max="18" width="9.8515625" style="0" customWidth="1"/>
    <col min="19" max="21" width="9.7109375" style="0" customWidth="1"/>
    <col min="22" max="22" width="10.28125" style="0" customWidth="1"/>
    <col min="26" max="26" width="8.28125" style="0" customWidth="1"/>
    <col min="27" max="29" width="10.57421875" style="0" customWidth="1"/>
    <col min="30" max="30" width="6.8515625" style="0" customWidth="1"/>
    <col min="31" max="33" width="7.140625" style="0" customWidth="1"/>
    <col min="34" max="34" width="13.8515625" style="0" customWidth="1"/>
    <col min="35" max="38" width="9.8515625" style="0" customWidth="1"/>
    <col min="39" max="39" width="10.140625" style="0" customWidth="1"/>
  </cols>
  <sheetData>
    <row r="1" spans="19:41" ht="12.75">
      <c r="S1" s="2348" t="s">
        <v>2105</v>
      </c>
      <c r="T1" s="2348"/>
      <c r="U1" s="2348"/>
      <c r="AH1" s="2023"/>
      <c r="AI1" s="1987"/>
      <c r="AJ1" s="1987"/>
      <c r="AK1" s="1987"/>
      <c r="AL1" s="1987"/>
      <c r="AM1" s="2387" t="s">
        <v>2104</v>
      </c>
      <c r="AN1" s="2387"/>
      <c r="AO1" s="2387"/>
    </row>
    <row r="2" spans="1:42" ht="12.75">
      <c r="A2" s="2419" t="s">
        <v>1345</v>
      </c>
      <c r="B2" s="2419"/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  <c r="N2" s="2419"/>
      <c r="O2" s="2419"/>
      <c r="P2" s="2419"/>
      <c r="Q2" s="2419"/>
      <c r="R2" s="2419"/>
      <c r="S2" s="2419"/>
      <c r="T2" s="2419"/>
      <c r="U2" s="2419"/>
      <c r="V2" s="2419" t="s">
        <v>1345</v>
      </c>
      <c r="W2" s="2419"/>
      <c r="X2" s="2419"/>
      <c r="Y2" s="2419"/>
      <c r="Z2" s="2419"/>
      <c r="AA2" s="2419"/>
      <c r="AB2" s="2419"/>
      <c r="AC2" s="2419"/>
      <c r="AD2" s="2419"/>
      <c r="AE2" s="2419"/>
      <c r="AF2" s="2419"/>
      <c r="AG2" s="2419"/>
      <c r="AH2" s="2419"/>
      <c r="AI2" s="2419"/>
      <c r="AJ2" s="2419"/>
      <c r="AK2" s="2419"/>
      <c r="AL2" s="2419"/>
      <c r="AM2" s="2419"/>
      <c r="AN2" s="2419"/>
      <c r="AO2" s="2419"/>
      <c r="AP2" s="2419"/>
    </row>
    <row r="3" spans="1:41" ht="38.25" customHeight="1">
      <c r="A3" s="2421" t="s">
        <v>2103</v>
      </c>
      <c r="B3" s="2421"/>
      <c r="C3" s="2421"/>
      <c r="D3" s="2421"/>
      <c r="E3" s="2421"/>
      <c r="F3" s="2421"/>
      <c r="G3" s="2421"/>
      <c r="H3" s="2421"/>
      <c r="I3" s="2421"/>
      <c r="J3" s="2421"/>
      <c r="K3" s="2421"/>
      <c r="L3" s="2421"/>
      <c r="M3" s="2421"/>
      <c r="N3" s="2421"/>
      <c r="O3" s="2421"/>
      <c r="P3" s="2421"/>
      <c r="Q3" s="2421"/>
      <c r="R3" s="2421"/>
      <c r="S3" s="2421"/>
      <c r="T3" s="2421"/>
      <c r="U3" s="2421"/>
      <c r="V3" s="2421" t="s">
        <v>2103</v>
      </c>
      <c r="W3" s="2421"/>
      <c r="X3" s="2421"/>
      <c r="Y3" s="2421"/>
      <c r="Z3" s="2421"/>
      <c r="AA3" s="2421"/>
      <c r="AB3" s="2421"/>
      <c r="AC3" s="2421"/>
      <c r="AD3" s="2421"/>
      <c r="AE3" s="2421"/>
      <c r="AF3" s="2421"/>
      <c r="AG3" s="2421"/>
      <c r="AH3" s="2421"/>
      <c r="AI3" s="2421"/>
      <c r="AJ3" s="2421"/>
      <c r="AK3" s="2421"/>
      <c r="AL3" s="2421"/>
      <c r="AM3" s="2421"/>
      <c r="AN3" s="2421"/>
      <c r="AO3" s="2421"/>
    </row>
    <row r="4" spans="34:39" ht="12.75">
      <c r="AH4" s="2396" t="s">
        <v>1371</v>
      </c>
      <c r="AI4" s="2396"/>
      <c r="AJ4" s="2396"/>
      <c r="AK4" s="2396"/>
      <c r="AL4" s="2396"/>
      <c r="AM4" s="2396"/>
    </row>
    <row r="5" spans="1:41" ht="12.75" customHeight="1">
      <c r="A5" s="2347" t="s">
        <v>1426</v>
      </c>
      <c r="B5" s="2370" t="s">
        <v>1428</v>
      </c>
      <c r="C5" s="2357"/>
      <c r="D5" s="2357"/>
      <c r="E5" s="2358"/>
      <c r="F5" s="2370" t="s">
        <v>1414</v>
      </c>
      <c r="G5" s="2357"/>
      <c r="H5" s="2357"/>
      <c r="I5" s="2358"/>
      <c r="J5" s="2370" t="s">
        <v>1427</v>
      </c>
      <c r="K5" s="2357"/>
      <c r="L5" s="2357"/>
      <c r="M5" s="2358"/>
      <c r="N5" s="2370" t="s">
        <v>1416</v>
      </c>
      <c r="O5" s="2357"/>
      <c r="P5" s="2357"/>
      <c r="Q5" s="2358"/>
      <c r="R5" s="2344" t="s">
        <v>1183</v>
      </c>
      <c r="S5" s="2345"/>
      <c r="T5" s="2345"/>
      <c r="U5" s="2345"/>
      <c r="V5" s="2344" t="s">
        <v>1183</v>
      </c>
      <c r="W5" s="2345"/>
      <c r="X5" s="2345"/>
      <c r="Y5" s="2345"/>
      <c r="Z5" s="2403" t="s">
        <v>1236</v>
      </c>
      <c r="AA5" s="2404"/>
      <c r="AB5" s="2404"/>
      <c r="AC5" s="2405"/>
      <c r="AD5" s="2370" t="s">
        <v>1422</v>
      </c>
      <c r="AE5" s="2357"/>
      <c r="AF5" s="2357"/>
      <c r="AG5" s="2358"/>
      <c r="AH5" s="2403" t="s">
        <v>1430</v>
      </c>
      <c r="AI5" s="2404"/>
      <c r="AJ5" s="2404"/>
      <c r="AK5" s="2405"/>
      <c r="AL5" s="2403" t="s">
        <v>1413</v>
      </c>
      <c r="AM5" s="2404"/>
      <c r="AN5" s="2404"/>
      <c r="AO5" s="2405"/>
    </row>
    <row r="6" spans="1:41" ht="39" customHeight="1">
      <c r="A6" s="2347"/>
      <c r="B6" s="2359"/>
      <c r="C6" s="2360"/>
      <c r="D6" s="2360"/>
      <c r="E6" s="2352"/>
      <c r="F6" s="2359"/>
      <c r="G6" s="2360"/>
      <c r="H6" s="2360"/>
      <c r="I6" s="2352"/>
      <c r="J6" s="2359"/>
      <c r="K6" s="2360"/>
      <c r="L6" s="2360"/>
      <c r="M6" s="2352"/>
      <c r="N6" s="2359"/>
      <c r="O6" s="2360"/>
      <c r="P6" s="2360"/>
      <c r="Q6" s="2352"/>
      <c r="R6" s="2349" t="s">
        <v>243</v>
      </c>
      <c r="S6" s="2350"/>
      <c r="T6" s="2350"/>
      <c r="U6" s="2351"/>
      <c r="V6" s="2416" t="s">
        <v>1575</v>
      </c>
      <c r="W6" s="2417"/>
      <c r="X6" s="2417"/>
      <c r="Y6" s="2418"/>
      <c r="Z6" s="2406"/>
      <c r="AA6" s="2407"/>
      <c r="AB6" s="2407"/>
      <c r="AC6" s="2408"/>
      <c r="AD6" s="2359"/>
      <c r="AE6" s="2360"/>
      <c r="AF6" s="2360"/>
      <c r="AG6" s="2352"/>
      <c r="AH6" s="2406"/>
      <c r="AI6" s="2407"/>
      <c r="AJ6" s="2407"/>
      <c r="AK6" s="2408"/>
      <c r="AL6" s="2406"/>
      <c r="AM6" s="2407"/>
      <c r="AN6" s="2407"/>
      <c r="AO6" s="2408"/>
    </row>
    <row r="7" spans="1:41" ht="24" customHeight="1">
      <c r="A7" s="2347"/>
      <c r="B7" s="174" t="s">
        <v>1415</v>
      </c>
      <c r="C7" s="174" t="s">
        <v>1538</v>
      </c>
      <c r="D7" s="174" t="s">
        <v>822</v>
      </c>
      <c r="E7" s="174" t="s">
        <v>1353</v>
      </c>
      <c r="F7" s="174" t="s">
        <v>1415</v>
      </c>
      <c r="G7" s="174" t="s">
        <v>1538</v>
      </c>
      <c r="H7" s="174" t="s">
        <v>822</v>
      </c>
      <c r="I7" s="174" t="s">
        <v>1353</v>
      </c>
      <c r="J7" s="174" t="s">
        <v>1415</v>
      </c>
      <c r="K7" s="174" t="s">
        <v>1538</v>
      </c>
      <c r="L7" s="174" t="s">
        <v>822</v>
      </c>
      <c r="M7" s="174" t="s">
        <v>1353</v>
      </c>
      <c r="N7" s="174" t="s">
        <v>1415</v>
      </c>
      <c r="O7" s="174" t="s">
        <v>1538</v>
      </c>
      <c r="P7" s="174" t="s">
        <v>822</v>
      </c>
      <c r="Q7" s="174" t="s">
        <v>1353</v>
      </c>
      <c r="R7" s="174" t="s">
        <v>1415</v>
      </c>
      <c r="S7" s="174" t="s">
        <v>1538</v>
      </c>
      <c r="T7" s="174" t="s">
        <v>822</v>
      </c>
      <c r="U7" s="174" t="s">
        <v>1353</v>
      </c>
      <c r="V7" s="174" t="s">
        <v>1415</v>
      </c>
      <c r="W7" s="174" t="s">
        <v>1538</v>
      </c>
      <c r="X7" s="174" t="s">
        <v>822</v>
      </c>
      <c r="Y7" s="174" t="s">
        <v>1353</v>
      </c>
      <c r="Z7" s="174" t="s">
        <v>1538</v>
      </c>
      <c r="AA7" s="174" t="s">
        <v>1538</v>
      </c>
      <c r="AB7" s="174" t="s">
        <v>822</v>
      </c>
      <c r="AC7" s="174" t="s">
        <v>1353</v>
      </c>
      <c r="AD7" s="174" t="s">
        <v>1415</v>
      </c>
      <c r="AE7" s="174" t="s">
        <v>1538</v>
      </c>
      <c r="AF7" s="174" t="s">
        <v>1354</v>
      </c>
      <c r="AG7" s="174" t="s">
        <v>1353</v>
      </c>
      <c r="AH7" s="174" t="s">
        <v>1415</v>
      </c>
      <c r="AI7" s="174" t="s">
        <v>1538</v>
      </c>
      <c r="AJ7" s="174" t="s">
        <v>822</v>
      </c>
      <c r="AK7" s="174" t="s">
        <v>1353</v>
      </c>
      <c r="AL7" s="174" t="s">
        <v>173</v>
      </c>
      <c r="AM7" s="220" t="s">
        <v>1561</v>
      </c>
      <c r="AN7" s="220" t="s">
        <v>822</v>
      </c>
      <c r="AO7" s="220" t="s">
        <v>1353</v>
      </c>
    </row>
    <row r="8" spans="1:41" s="96" customFormat="1" ht="12.75" customHeight="1">
      <c r="A8" s="942" t="s">
        <v>1482</v>
      </c>
      <c r="B8" s="2174">
        <f>B9+B13+B14+B15+B12</f>
        <v>254149</v>
      </c>
      <c r="C8" s="2174">
        <f>C9+C13+C14+C15+C12</f>
        <v>267403.1</v>
      </c>
      <c r="D8" s="2174">
        <f>D9+D13+D14+D15+D12</f>
        <v>276276</v>
      </c>
      <c r="E8" s="2285">
        <f>D8/C8</f>
        <v>1.0331817394787122</v>
      </c>
      <c r="F8" s="2174">
        <f aca="true" t="shared" si="0" ref="F8:AF8">F9+F13+F14+F15+F12</f>
        <v>69032</v>
      </c>
      <c r="G8" s="2174">
        <f t="shared" si="0"/>
        <v>72610.70000000001</v>
      </c>
      <c r="H8" s="2174">
        <f t="shared" si="0"/>
        <v>73808</v>
      </c>
      <c r="I8" s="2285">
        <f>H8/G8</f>
        <v>1.0164893052952249</v>
      </c>
      <c r="J8" s="2174">
        <f t="shared" si="0"/>
        <v>148781</v>
      </c>
      <c r="K8" s="2174">
        <f t="shared" si="0"/>
        <v>166781</v>
      </c>
      <c r="L8" s="2174">
        <f t="shared" si="0"/>
        <v>125720</v>
      </c>
      <c r="M8" s="2285">
        <f>L8/K8</f>
        <v>0.7538028912166254</v>
      </c>
      <c r="N8" s="2174">
        <f t="shared" si="0"/>
        <v>4152</v>
      </c>
      <c r="O8" s="2174">
        <f t="shared" si="0"/>
        <v>4152</v>
      </c>
      <c r="P8" s="2174">
        <f t="shared" si="0"/>
        <v>10447</v>
      </c>
      <c r="Q8" s="2286">
        <f>P8/O8</f>
        <v>2.5161368015414256</v>
      </c>
      <c r="R8" s="2174">
        <f t="shared" si="0"/>
        <v>0</v>
      </c>
      <c r="S8" s="2174">
        <f t="shared" si="0"/>
        <v>0</v>
      </c>
      <c r="T8" s="2174">
        <f t="shared" si="0"/>
        <v>0</v>
      </c>
      <c r="U8" s="2174"/>
      <c r="V8" s="2174">
        <f t="shared" si="0"/>
        <v>0</v>
      </c>
      <c r="W8" s="2174">
        <f t="shared" si="0"/>
        <v>0</v>
      </c>
      <c r="X8" s="2174">
        <f t="shared" si="0"/>
        <v>0</v>
      </c>
      <c r="Y8" s="2174"/>
      <c r="Z8" s="2174">
        <f t="shared" si="0"/>
        <v>0</v>
      </c>
      <c r="AA8" s="2174">
        <f t="shared" si="0"/>
        <v>0</v>
      </c>
      <c r="AB8" s="2174">
        <f t="shared" si="0"/>
        <v>0</v>
      </c>
      <c r="AC8" s="2174"/>
      <c r="AD8" s="2174">
        <f t="shared" si="0"/>
        <v>0</v>
      </c>
      <c r="AE8" s="2174">
        <f t="shared" si="0"/>
        <v>0</v>
      </c>
      <c r="AF8" s="2174">
        <f t="shared" si="0"/>
        <v>0</v>
      </c>
      <c r="AG8" s="2174"/>
      <c r="AH8" s="2174">
        <f>+B8+F8+J8+N8+R8+V8+Z8+AD8</f>
        <v>476114</v>
      </c>
      <c r="AI8" s="2174">
        <f>+C8+G8+K8+O8+S8+W8+AA8+AE8</f>
        <v>510946.8</v>
      </c>
      <c r="AJ8" s="2174">
        <f>+D8+H8+L8+P8+T8+X8+AB8+AF8</f>
        <v>486251</v>
      </c>
      <c r="AK8" s="2285">
        <f>AJ8/AI8</f>
        <v>0.9516665922949317</v>
      </c>
      <c r="AL8" s="2287">
        <f>AL9+AL13+AL14+AL15+AL12</f>
        <v>118</v>
      </c>
      <c r="AM8" s="2287">
        <f>AM9+AM13+AM14+AM15+AM12</f>
        <v>118</v>
      </c>
      <c r="AN8" s="2287">
        <v>118</v>
      </c>
      <c r="AO8" s="2286">
        <f>AN8/AM8</f>
        <v>1</v>
      </c>
    </row>
    <row r="9" spans="1:41" s="223" customFormat="1" ht="12.75" customHeight="1">
      <c r="A9" s="221" t="s">
        <v>1576</v>
      </c>
      <c r="B9" s="222">
        <f>B10+B11</f>
        <v>135729</v>
      </c>
      <c r="C9" s="222">
        <f aca="true" t="shared" si="1" ref="C9:AD9">C10+C11</f>
        <v>143390.3</v>
      </c>
      <c r="D9" s="222">
        <f t="shared" si="1"/>
        <v>149874</v>
      </c>
      <c r="E9" s="2048">
        <f aca="true" t="shared" si="2" ref="E9:E28">D9/C9</f>
        <v>1.0452171450927992</v>
      </c>
      <c r="F9" s="222">
        <f t="shared" si="1"/>
        <v>36965</v>
      </c>
      <c r="G9" s="222">
        <f t="shared" si="1"/>
        <v>39033.6</v>
      </c>
      <c r="H9" s="2172">
        <f t="shared" si="1"/>
        <v>40081</v>
      </c>
      <c r="I9" s="2048">
        <f aca="true" t="shared" si="3" ref="I9:I28">H9/G9</f>
        <v>1.026833292343007</v>
      </c>
      <c r="J9" s="222">
        <f>+J10+J11</f>
        <v>115930</v>
      </c>
      <c r="K9" s="222">
        <f t="shared" si="1"/>
        <v>133930</v>
      </c>
      <c r="L9" s="222">
        <f t="shared" si="1"/>
        <v>105461</v>
      </c>
      <c r="M9" s="2048">
        <f aca="true" t="shared" si="4" ref="M9:M28">L9/K9</f>
        <v>0.7874337340401703</v>
      </c>
      <c r="N9" s="222">
        <f t="shared" si="1"/>
        <v>3552</v>
      </c>
      <c r="O9" s="222">
        <f t="shared" si="1"/>
        <v>3552</v>
      </c>
      <c r="P9" s="2052">
        <f t="shared" si="1"/>
        <v>9166</v>
      </c>
      <c r="Q9" s="2151">
        <f>P9/O9</f>
        <v>2.580518018018018</v>
      </c>
      <c r="R9" s="222">
        <f t="shared" si="1"/>
        <v>0</v>
      </c>
      <c r="S9" s="222">
        <f t="shared" si="1"/>
        <v>0</v>
      </c>
      <c r="T9" s="222">
        <f t="shared" si="1"/>
        <v>0</v>
      </c>
      <c r="U9" s="943"/>
      <c r="V9" s="222">
        <f t="shared" si="1"/>
        <v>0</v>
      </c>
      <c r="W9" s="222">
        <f t="shared" si="1"/>
        <v>0</v>
      </c>
      <c r="X9" s="222">
        <f t="shared" si="1"/>
        <v>0</v>
      </c>
      <c r="Y9" s="222"/>
      <c r="Z9" s="222">
        <f t="shared" si="1"/>
        <v>0</v>
      </c>
      <c r="AA9" s="222">
        <f t="shared" si="1"/>
        <v>0</v>
      </c>
      <c r="AB9" s="222">
        <f t="shared" si="1"/>
        <v>0</v>
      </c>
      <c r="AC9" s="222"/>
      <c r="AD9" s="222">
        <f t="shared" si="1"/>
        <v>0</v>
      </c>
      <c r="AE9" s="222">
        <f>AE10+AE11</f>
        <v>0</v>
      </c>
      <c r="AF9" s="222">
        <f>AF10+AF11</f>
        <v>0</v>
      </c>
      <c r="AG9" s="222"/>
      <c r="AH9" s="222">
        <f>AH10+AH11</f>
        <v>292176</v>
      </c>
      <c r="AI9" s="222">
        <f>AI10+AI11</f>
        <v>319905.9</v>
      </c>
      <c r="AJ9" s="222">
        <f>AJ10+AJ11</f>
        <v>304582</v>
      </c>
      <c r="AK9" s="2048">
        <f aca="true" t="shared" si="5" ref="AK9:AK28">AJ9/AI9</f>
        <v>0.9520987265317706</v>
      </c>
      <c r="AL9" s="941">
        <f>AL10+AL11</f>
        <v>67</v>
      </c>
      <c r="AM9" s="941">
        <f>AM10+AM11</f>
        <v>67</v>
      </c>
      <c r="AN9" s="941">
        <f>AN10+AN11</f>
        <v>67</v>
      </c>
      <c r="AO9" s="2151">
        <f aca="true" t="shared" si="6" ref="AO9:AO28">AN9/AM9</f>
        <v>1</v>
      </c>
    </row>
    <row r="10" spans="1:41" ht="14.25" customHeight="1">
      <c r="A10" s="346" t="s">
        <v>1514</v>
      </c>
      <c r="B10" s="201">
        <v>89484</v>
      </c>
      <c r="C10" s="201">
        <f>89484+5730.3</f>
        <v>95214.3</v>
      </c>
      <c r="D10" s="201">
        <v>102234</v>
      </c>
      <c r="E10" s="2049">
        <f t="shared" si="2"/>
        <v>1.073725270258774</v>
      </c>
      <c r="F10" s="201">
        <v>24031</v>
      </c>
      <c r="G10" s="1982">
        <f>24031+1547.2</f>
        <v>25578.2</v>
      </c>
      <c r="H10" s="1982">
        <v>27233</v>
      </c>
      <c r="I10" s="2049">
        <f t="shared" si="3"/>
        <v>1.0646957174468883</v>
      </c>
      <c r="J10" s="1982">
        <f>63764+441+34230</f>
        <v>98435</v>
      </c>
      <c r="K10" s="233">
        <f>98435+18000</f>
        <v>116435</v>
      </c>
      <c r="L10" s="233">
        <v>88568</v>
      </c>
      <c r="M10" s="2049">
        <f t="shared" si="4"/>
        <v>0.7606647485721647</v>
      </c>
      <c r="N10" s="201">
        <v>2400</v>
      </c>
      <c r="O10" s="201">
        <v>2400</v>
      </c>
      <c r="P10" s="201">
        <v>5635</v>
      </c>
      <c r="Q10" s="2151">
        <f>P10/O10</f>
        <v>2.347916666666667</v>
      </c>
      <c r="R10" s="201"/>
      <c r="S10" s="201"/>
      <c r="T10" s="201"/>
      <c r="U10" s="943"/>
      <c r="V10" s="201"/>
      <c r="W10" s="201"/>
      <c r="X10" s="201"/>
      <c r="Y10" s="201"/>
      <c r="Z10" s="226"/>
      <c r="AA10" s="226"/>
      <c r="AB10" s="226"/>
      <c r="AC10" s="226"/>
      <c r="AD10" s="910"/>
      <c r="AE10" s="227"/>
      <c r="AF10" s="227"/>
      <c r="AG10" s="227"/>
      <c r="AH10" s="201">
        <f aca="true" t="shared" si="7" ref="AH10:AJ15">+B10+F10+J10+N10+R10+V10+Z10+AD10</f>
        <v>214350</v>
      </c>
      <c r="AI10" s="201">
        <f t="shared" si="7"/>
        <v>239627.5</v>
      </c>
      <c r="AJ10" s="201">
        <f t="shared" si="7"/>
        <v>223670</v>
      </c>
      <c r="AK10" s="2048">
        <f t="shared" si="5"/>
        <v>0.9334070588726252</v>
      </c>
      <c r="AL10" s="225">
        <v>49</v>
      </c>
      <c r="AM10" s="206">
        <v>49</v>
      </c>
      <c r="AN10" s="944">
        <v>49</v>
      </c>
      <c r="AO10" s="2151">
        <f t="shared" si="6"/>
        <v>1</v>
      </c>
    </row>
    <row r="11" spans="1:41" ht="12.75">
      <c r="A11" s="27" t="s">
        <v>1515</v>
      </c>
      <c r="B11" s="39">
        <v>46245</v>
      </c>
      <c r="C11" s="39">
        <f>46245+1931</f>
        <v>48176</v>
      </c>
      <c r="D11" s="39">
        <v>47640</v>
      </c>
      <c r="E11" s="2049">
        <f t="shared" si="2"/>
        <v>0.9888741281966125</v>
      </c>
      <c r="F11" s="39">
        <v>12934</v>
      </c>
      <c r="G11" s="39">
        <f>12934+521.4</f>
        <v>13455.4</v>
      </c>
      <c r="H11" s="39">
        <v>12848</v>
      </c>
      <c r="I11" s="2049">
        <f t="shared" si="3"/>
        <v>0.9548582725151241</v>
      </c>
      <c r="J11" s="39">
        <f>13786+3709</f>
        <v>17495</v>
      </c>
      <c r="K11" s="39">
        <v>17495</v>
      </c>
      <c r="L11" s="39">
        <f>3001+13892</f>
        <v>16893</v>
      </c>
      <c r="M11" s="2049">
        <f t="shared" si="4"/>
        <v>0.9655901686196056</v>
      </c>
      <c r="N11" s="39">
        <v>1152</v>
      </c>
      <c r="O11" s="39">
        <v>1152</v>
      </c>
      <c r="P11" s="39">
        <v>3531</v>
      </c>
      <c r="Q11" s="2151">
        <f>P11/O11</f>
        <v>3.0651041666666665</v>
      </c>
      <c r="R11" s="39"/>
      <c r="S11" s="39"/>
      <c r="T11" s="39"/>
      <c r="U11" s="943"/>
      <c r="V11" s="39"/>
      <c r="W11" s="39"/>
      <c r="X11" s="39"/>
      <c r="Y11" s="39"/>
      <c r="Z11" s="226"/>
      <c r="AA11" s="226"/>
      <c r="AB11" s="226"/>
      <c r="AC11" s="226"/>
      <c r="AD11" s="910"/>
      <c r="AE11" s="227"/>
      <c r="AF11" s="227"/>
      <c r="AG11" s="227"/>
      <c r="AH11" s="201">
        <f t="shared" si="7"/>
        <v>77826</v>
      </c>
      <c r="AI11" s="201">
        <f t="shared" si="7"/>
        <v>80278.4</v>
      </c>
      <c r="AJ11" s="201">
        <f t="shared" si="7"/>
        <v>80912</v>
      </c>
      <c r="AK11" s="2048">
        <f t="shared" si="5"/>
        <v>1.0078925339817435</v>
      </c>
      <c r="AL11" s="225">
        <v>18</v>
      </c>
      <c r="AM11" s="206">
        <v>18</v>
      </c>
      <c r="AN11" s="944">
        <v>18</v>
      </c>
      <c r="AO11" s="2151">
        <f t="shared" si="6"/>
        <v>1</v>
      </c>
    </row>
    <row r="12" spans="1:41" ht="12.75">
      <c r="A12" s="311" t="s">
        <v>1170</v>
      </c>
      <c r="B12" s="229">
        <v>23369</v>
      </c>
      <c r="C12" s="229">
        <f>23369+998.1</f>
        <v>24367.1</v>
      </c>
      <c r="D12" s="229">
        <v>23302</v>
      </c>
      <c r="E12" s="2049">
        <f t="shared" si="2"/>
        <v>0.9562894230335166</v>
      </c>
      <c r="F12" s="229">
        <v>6281</v>
      </c>
      <c r="G12" s="229">
        <f>6281+269.5</f>
        <v>6550.5</v>
      </c>
      <c r="H12" s="229">
        <v>6415</v>
      </c>
      <c r="I12" s="2049">
        <f t="shared" si="3"/>
        <v>0.9793145561407526</v>
      </c>
      <c r="J12" s="229">
        <f>11399+528</f>
        <v>11927</v>
      </c>
      <c r="K12" s="229">
        <v>11927</v>
      </c>
      <c r="L12" s="229">
        <v>6809</v>
      </c>
      <c r="M12" s="2049">
        <f t="shared" si="4"/>
        <v>0.5708895782677957</v>
      </c>
      <c r="N12" s="229">
        <v>600</v>
      </c>
      <c r="O12" s="229">
        <v>600</v>
      </c>
      <c r="P12" s="229">
        <v>1281</v>
      </c>
      <c r="Q12" s="2151">
        <f>P12/O12</f>
        <v>2.135</v>
      </c>
      <c r="R12" s="229"/>
      <c r="S12" s="229"/>
      <c r="T12" s="229"/>
      <c r="U12" s="943"/>
      <c r="V12" s="229"/>
      <c r="W12" s="229"/>
      <c r="X12" s="229"/>
      <c r="Y12" s="229"/>
      <c r="Z12" s="230"/>
      <c r="AA12" s="230"/>
      <c r="AB12" s="230"/>
      <c r="AC12" s="230"/>
      <c r="AD12" s="911"/>
      <c r="AE12" s="231"/>
      <c r="AF12" s="231"/>
      <c r="AG12" s="231"/>
      <c r="AH12" s="201">
        <f t="shared" si="7"/>
        <v>42177</v>
      </c>
      <c r="AI12" s="201">
        <f t="shared" si="7"/>
        <v>43444.6</v>
      </c>
      <c r="AJ12" s="201">
        <f t="shared" si="7"/>
        <v>37807</v>
      </c>
      <c r="AK12" s="2048">
        <f t="shared" si="5"/>
        <v>0.8702347357324041</v>
      </c>
      <c r="AL12" s="225">
        <v>9</v>
      </c>
      <c r="AM12" s="206">
        <v>9</v>
      </c>
      <c r="AN12" s="944">
        <v>9</v>
      </c>
      <c r="AO12" s="2151">
        <f t="shared" si="6"/>
        <v>1</v>
      </c>
    </row>
    <row r="13" spans="1:41" ht="12.75">
      <c r="A13" s="228" t="s">
        <v>1516</v>
      </c>
      <c r="B13" s="229">
        <v>55705</v>
      </c>
      <c r="C13" s="229">
        <f>55705+3004.5</f>
        <v>58709.5</v>
      </c>
      <c r="D13" s="229">
        <v>63155</v>
      </c>
      <c r="E13" s="2049">
        <f t="shared" si="2"/>
        <v>1.0757202837700883</v>
      </c>
      <c r="F13" s="229">
        <v>14990</v>
      </c>
      <c r="G13" s="229">
        <f>14990+811.2</f>
        <v>15801.2</v>
      </c>
      <c r="H13" s="229">
        <v>17053</v>
      </c>
      <c r="I13" s="2049">
        <f t="shared" si="3"/>
        <v>1.0792218312533224</v>
      </c>
      <c r="J13" s="229">
        <f>12382+4277</f>
        <v>16659</v>
      </c>
      <c r="K13" s="229">
        <v>16659</v>
      </c>
      <c r="L13" s="229">
        <v>10081</v>
      </c>
      <c r="M13" s="2049">
        <f t="shared" si="4"/>
        <v>0.6051383636472778</v>
      </c>
      <c r="N13" s="229"/>
      <c r="O13" s="229"/>
      <c r="P13" s="229"/>
      <c r="Q13" s="2151"/>
      <c r="R13" s="229"/>
      <c r="S13" s="229"/>
      <c r="T13" s="229"/>
      <c r="U13" s="943"/>
      <c r="V13" s="229"/>
      <c r="W13" s="229"/>
      <c r="X13" s="229"/>
      <c r="Y13" s="229"/>
      <c r="Z13" s="230"/>
      <c r="AA13" s="230"/>
      <c r="AB13" s="230"/>
      <c r="AC13" s="230"/>
      <c r="AD13" s="911"/>
      <c r="AE13" s="231"/>
      <c r="AF13" s="231"/>
      <c r="AG13" s="231"/>
      <c r="AH13" s="201">
        <f t="shared" si="7"/>
        <v>87354</v>
      </c>
      <c r="AI13" s="201">
        <f t="shared" si="7"/>
        <v>91169.7</v>
      </c>
      <c r="AJ13" s="201">
        <f t="shared" si="7"/>
        <v>90289</v>
      </c>
      <c r="AK13" s="2048">
        <f t="shared" si="5"/>
        <v>0.9903399923439477</v>
      </c>
      <c r="AL13" s="225">
        <v>26</v>
      </c>
      <c r="AM13" s="206">
        <v>26</v>
      </c>
      <c r="AN13" s="944">
        <v>26</v>
      </c>
      <c r="AO13" s="2151">
        <f t="shared" si="6"/>
        <v>1</v>
      </c>
    </row>
    <row r="14" spans="1:41" ht="12.75">
      <c r="A14" s="27" t="s">
        <v>1423</v>
      </c>
      <c r="B14" s="39">
        <v>21659</v>
      </c>
      <c r="C14" s="39">
        <f>21659+801</f>
        <v>22460</v>
      </c>
      <c r="D14" s="39">
        <v>20249</v>
      </c>
      <c r="E14" s="2049">
        <f t="shared" si="2"/>
        <v>0.9015583259127338</v>
      </c>
      <c r="F14" s="39">
        <v>5890</v>
      </c>
      <c r="G14" s="39">
        <f>5890+216.3</f>
        <v>6106.3</v>
      </c>
      <c r="H14" s="39">
        <v>5381</v>
      </c>
      <c r="I14" s="2049">
        <f t="shared" si="3"/>
        <v>0.881221034014051</v>
      </c>
      <c r="J14" s="39">
        <f>1625+846</f>
        <v>2471</v>
      </c>
      <c r="K14" s="39">
        <v>2471</v>
      </c>
      <c r="L14" s="39">
        <v>2104</v>
      </c>
      <c r="M14" s="2049">
        <f t="shared" si="4"/>
        <v>0.8514771347632537</v>
      </c>
      <c r="N14" s="39"/>
      <c r="O14" s="39"/>
      <c r="P14" s="39"/>
      <c r="Q14" s="2151"/>
      <c r="R14" s="39"/>
      <c r="S14" s="39"/>
      <c r="T14" s="39"/>
      <c r="U14" s="943"/>
      <c r="V14" s="39"/>
      <c r="W14" s="39"/>
      <c r="X14" s="39"/>
      <c r="Y14" s="39"/>
      <c r="Z14" s="226"/>
      <c r="AA14" s="226"/>
      <c r="AB14" s="226"/>
      <c r="AC14" s="226"/>
      <c r="AD14" s="227"/>
      <c r="AE14" s="231"/>
      <c r="AF14" s="231"/>
      <c r="AG14" s="231"/>
      <c r="AH14" s="201">
        <f t="shared" si="7"/>
        <v>30020</v>
      </c>
      <c r="AI14" s="201">
        <f t="shared" si="7"/>
        <v>31037.3</v>
      </c>
      <c r="AJ14" s="201">
        <f t="shared" si="7"/>
        <v>27734</v>
      </c>
      <c r="AK14" s="2048">
        <f t="shared" si="5"/>
        <v>0.8935699948126932</v>
      </c>
      <c r="AL14" s="225">
        <v>8</v>
      </c>
      <c r="AM14" s="206">
        <v>8</v>
      </c>
      <c r="AN14" s="944">
        <v>8</v>
      </c>
      <c r="AO14" s="2151">
        <f t="shared" si="6"/>
        <v>1</v>
      </c>
    </row>
    <row r="15" spans="1:41" ht="12.75">
      <c r="A15" s="232" t="s">
        <v>222</v>
      </c>
      <c r="B15" s="233">
        <v>17687</v>
      </c>
      <c r="C15" s="233">
        <f>17687+789.2</f>
        <v>18476.2</v>
      </c>
      <c r="D15" s="233">
        <v>19696</v>
      </c>
      <c r="E15" s="2049">
        <f t="shared" si="2"/>
        <v>1.06602006906182</v>
      </c>
      <c r="F15" s="233">
        <v>4906</v>
      </c>
      <c r="G15" s="233">
        <f>4906+213.1</f>
        <v>5119.1</v>
      </c>
      <c r="H15" s="233">
        <v>4878</v>
      </c>
      <c r="I15" s="2049">
        <f t="shared" si="3"/>
        <v>0.9529018772831161</v>
      </c>
      <c r="J15" s="233">
        <f>1447+347</f>
        <v>1794</v>
      </c>
      <c r="K15" s="233">
        <v>1794</v>
      </c>
      <c r="L15" s="233">
        <v>1265</v>
      </c>
      <c r="M15" s="2049">
        <f t="shared" si="4"/>
        <v>0.7051282051282052</v>
      </c>
      <c r="N15" s="233"/>
      <c r="O15" s="233"/>
      <c r="P15" s="233"/>
      <c r="Q15" s="2151"/>
      <c r="R15" s="233"/>
      <c r="S15" s="233"/>
      <c r="T15" s="233"/>
      <c r="U15" s="943"/>
      <c r="V15" s="233"/>
      <c r="W15" s="233"/>
      <c r="X15" s="233"/>
      <c r="Y15" s="233"/>
      <c r="Z15" s="234"/>
      <c r="AA15" s="234"/>
      <c r="AB15" s="234"/>
      <c r="AC15" s="234"/>
      <c r="AD15" s="235"/>
      <c r="AE15" s="224"/>
      <c r="AF15" s="224"/>
      <c r="AG15" s="224"/>
      <c r="AH15" s="201">
        <f t="shared" si="7"/>
        <v>24387</v>
      </c>
      <c r="AI15" s="201">
        <f t="shared" si="7"/>
        <v>25389.300000000003</v>
      </c>
      <c r="AJ15" s="201">
        <f t="shared" si="7"/>
        <v>25839</v>
      </c>
      <c r="AK15" s="2048">
        <f t="shared" si="5"/>
        <v>1.0177121858420672</v>
      </c>
      <c r="AL15" s="225">
        <v>8</v>
      </c>
      <c r="AM15" s="206">
        <v>8</v>
      </c>
      <c r="AN15" s="944">
        <v>8</v>
      </c>
      <c r="AO15" s="2151">
        <f t="shared" si="6"/>
        <v>1</v>
      </c>
    </row>
    <row r="16" spans="1:41" s="9" customFormat="1" ht="12.75">
      <c r="A16" s="236" t="s">
        <v>1577</v>
      </c>
      <c r="B16" s="59">
        <f aca="true" t="shared" si="8" ref="B16:L16">+B17+B19+B18</f>
        <v>16915</v>
      </c>
      <c r="C16" s="59">
        <f t="shared" si="8"/>
        <v>18003.199999999997</v>
      </c>
      <c r="D16" s="59">
        <f t="shared" si="8"/>
        <v>16508</v>
      </c>
      <c r="E16" s="2048">
        <f t="shared" si="2"/>
        <v>0.9169480981158906</v>
      </c>
      <c r="F16" s="59">
        <f t="shared" si="8"/>
        <v>4515</v>
      </c>
      <c r="G16" s="59">
        <f t="shared" si="8"/>
        <v>4808.8</v>
      </c>
      <c r="H16" s="59">
        <f t="shared" si="8"/>
        <v>4243</v>
      </c>
      <c r="I16" s="2048">
        <f t="shared" si="3"/>
        <v>0.8823407087007153</v>
      </c>
      <c r="J16" s="59">
        <f t="shared" si="8"/>
        <v>13016</v>
      </c>
      <c r="K16" s="59">
        <f t="shared" si="8"/>
        <v>13016</v>
      </c>
      <c r="L16" s="59">
        <f t="shared" si="8"/>
        <v>14661</v>
      </c>
      <c r="M16" s="2048">
        <f t="shared" si="4"/>
        <v>1.1263829133374308</v>
      </c>
      <c r="N16" s="59"/>
      <c r="O16" s="59"/>
      <c r="P16" s="59"/>
      <c r="Q16" s="2151"/>
      <c r="R16" s="59"/>
      <c r="S16" s="59"/>
      <c r="T16" s="59"/>
      <c r="U16" s="943"/>
      <c r="V16" s="59"/>
      <c r="W16" s="59"/>
      <c r="X16" s="59"/>
      <c r="Y16" s="59"/>
      <c r="Z16" s="59">
        <f>+Z17+Z19</f>
        <v>0</v>
      </c>
      <c r="AA16" s="59">
        <f>+AA17+AA19</f>
        <v>0</v>
      </c>
      <c r="AB16" s="59">
        <f>+AB17+AB19</f>
        <v>0</v>
      </c>
      <c r="AC16" s="59"/>
      <c r="AD16" s="59">
        <f>+AD17+AD19</f>
        <v>0</v>
      </c>
      <c r="AE16" s="237">
        <v>0</v>
      </c>
      <c r="AF16" s="237">
        <v>0</v>
      </c>
      <c r="AG16" s="237"/>
      <c r="AH16" s="207">
        <f>SUM(AH17:AH19)</f>
        <v>34446</v>
      </c>
      <c r="AI16" s="207">
        <f>SUM(AI17:AI19)</f>
        <v>35828</v>
      </c>
      <c r="AJ16" s="207">
        <f>SUM(AJ17:AJ19)</f>
        <v>35412</v>
      </c>
      <c r="AK16" s="2048">
        <f t="shared" si="5"/>
        <v>0.988388969521045</v>
      </c>
      <c r="AL16" s="94">
        <f>AL17+AL18+AL19</f>
        <v>9</v>
      </c>
      <c r="AM16" s="94">
        <f>SUM(AM17:AM19)</f>
        <v>9</v>
      </c>
      <c r="AN16" s="94">
        <f>SUM(AN17:AN19)</f>
        <v>8</v>
      </c>
      <c r="AO16" s="2151">
        <f t="shared" si="6"/>
        <v>0.8888888888888888</v>
      </c>
    </row>
    <row r="17" spans="1:41" s="42" customFormat="1" ht="12.75">
      <c r="A17" s="238" t="s">
        <v>234</v>
      </c>
      <c r="B17" s="239">
        <v>9664</v>
      </c>
      <c r="C17" s="239">
        <f>9664+639.5</f>
        <v>10303.5</v>
      </c>
      <c r="D17" s="239">
        <f>10252+377</f>
        <v>10629</v>
      </c>
      <c r="E17" s="2049">
        <f t="shared" si="2"/>
        <v>1.0315912068714514</v>
      </c>
      <c r="F17" s="347">
        <v>2576</v>
      </c>
      <c r="G17" s="239">
        <f>2576+172.6</f>
        <v>2748.6</v>
      </c>
      <c r="H17" s="239">
        <v>2828</v>
      </c>
      <c r="I17" s="2049">
        <f t="shared" si="3"/>
        <v>1.0288874336025613</v>
      </c>
      <c r="J17" s="239">
        <f>6060+433</f>
        <v>6493</v>
      </c>
      <c r="K17" s="239">
        <v>6493</v>
      </c>
      <c r="L17" s="239">
        <v>6865</v>
      </c>
      <c r="M17" s="2049">
        <f t="shared" si="4"/>
        <v>1.0572924688125673</v>
      </c>
      <c r="N17" s="239"/>
      <c r="O17" s="239"/>
      <c r="P17" s="239"/>
      <c r="Q17" s="2151"/>
      <c r="R17" s="239"/>
      <c r="S17" s="239"/>
      <c r="T17" s="239"/>
      <c r="U17" s="943"/>
      <c r="V17" s="239"/>
      <c r="W17" s="239"/>
      <c r="X17" s="239"/>
      <c r="Y17" s="239"/>
      <c r="Z17" s="240"/>
      <c r="AA17" s="240"/>
      <c r="AB17" s="240"/>
      <c r="AC17" s="240"/>
      <c r="AD17" s="240"/>
      <c r="AE17" s="240"/>
      <c r="AF17" s="240"/>
      <c r="AG17" s="240"/>
      <c r="AH17" s="201">
        <f aca="true" t="shared" si="9" ref="AH17:AJ19">+B17+F17+J17+N17+R17+V17+Z17+AD17</f>
        <v>18733</v>
      </c>
      <c r="AI17" s="201">
        <f t="shared" si="9"/>
        <v>19545.1</v>
      </c>
      <c r="AJ17" s="201">
        <f t="shared" si="9"/>
        <v>20322</v>
      </c>
      <c r="AK17" s="2048">
        <f t="shared" si="5"/>
        <v>1.0397490931230846</v>
      </c>
      <c r="AL17" s="225">
        <v>4.75</v>
      </c>
      <c r="AM17" s="241">
        <v>4.75</v>
      </c>
      <c r="AN17" s="944">
        <v>5.75</v>
      </c>
      <c r="AO17" s="2151">
        <f t="shared" si="6"/>
        <v>1.2105263157894737</v>
      </c>
    </row>
    <row r="18" spans="1:41" s="42" customFormat="1" ht="12.75">
      <c r="A18" s="1015" t="s">
        <v>1294</v>
      </c>
      <c r="B18" s="1013">
        <f>6129</f>
        <v>6129</v>
      </c>
      <c r="C18" s="1013">
        <f>6129+252.9</f>
        <v>6381.9</v>
      </c>
      <c r="D18" s="1013">
        <v>4163</v>
      </c>
      <c r="E18" s="2049">
        <f t="shared" si="2"/>
        <v>0.6523135743273947</v>
      </c>
      <c r="F18" s="1014">
        <v>1636</v>
      </c>
      <c r="G18" s="1013">
        <f>1636+68.3</f>
        <v>1704.3</v>
      </c>
      <c r="H18" s="1013">
        <v>995</v>
      </c>
      <c r="I18" s="2049">
        <f t="shared" si="3"/>
        <v>0.583817403039371</v>
      </c>
      <c r="J18" s="1013">
        <f>3736+914-1</f>
        <v>4649</v>
      </c>
      <c r="K18" s="1013">
        <v>4649</v>
      </c>
      <c r="L18" s="1013">
        <v>6551</v>
      </c>
      <c r="M18" s="2049">
        <f t="shared" si="4"/>
        <v>1.409120240912024</v>
      </c>
      <c r="N18" s="1013"/>
      <c r="O18" s="1013"/>
      <c r="P18" s="1013"/>
      <c r="Q18" s="2151"/>
      <c r="R18" s="1013"/>
      <c r="S18" s="1013"/>
      <c r="T18" s="1013"/>
      <c r="U18" s="943"/>
      <c r="V18" s="1013"/>
      <c r="W18" s="1013"/>
      <c r="X18" s="1013"/>
      <c r="Y18" s="1013"/>
      <c r="Z18" s="245"/>
      <c r="AA18" s="245"/>
      <c r="AB18" s="245"/>
      <c r="AC18" s="245"/>
      <c r="AD18" s="245"/>
      <c r="AE18" s="245"/>
      <c r="AF18" s="245"/>
      <c r="AG18" s="245"/>
      <c r="AH18" s="201">
        <f t="shared" si="9"/>
        <v>12414</v>
      </c>
      <c r="AI18" s="201">
        <f t="shared" si="9"/>
        <v>12735.2</v>
      </c>
      <c r="AJ18" s="201">
        <f t="shared" si="9"/>
        <v>11709</v>
      </c>
      <c r="AK18" s="2048">
        <f t="shared" si="5"/>
        <v>0.9194201897104088</v>
      </c>
      <c r="AL18" s="225">
        <v>3.5</v>
      </c>
      <c r="AM18" s="241">
        <v>3.5</v>
      </c>
      <c r="AN18" s="944">
        <v>1.25</v>
      </c>
      <c r="AO18" s="2151">
        <f t="shared" si="6"/>
        <v>0.35714285714285715</v>
      </c>
    </row>
    <row r="19" spans="1:41" s="42" customFormat="1" ht="12.75">
      <c r="A19" s="242" t="s">
        <v>235</v>
      </c>
      <c r="B19" s="243">
        <v>1122</v>
      </c>
      <c r="C19" s="243">
        <f>1122+195.8</f>
        <v>1317.8</v>
      </c>
      <c r="D19" s="243">
        <v>1716</v>
      </c>
      <c r="E19" s="2049">
        <f t="shared" si="2"/>
        <v>1.302170283806344</v>
      </c>
      <c r="F19" s="243">
        <v>303</v>
      </c>
      <c r="G19" s="243">
        <f>303+52.9</f>
        <v>355.9</v>
      </c>
      <c r="H19" s="243">
        <v>420</v>
      </c>
      <c r="I19" s="2049">
        <f t="shared" si="3"/>
        <v>1.1801067715650464</v>
      </c>
      <c r="J19" s="243">
        <f>1338+536</f>
        <v>1874</v>
      </c>
      <c r="K19" s="243">
        <v>1874</v>
      </c>
      <c r="L19" s="243">
        <v>1245</v>
      </c>
      <c r="M19" s="2049">
        <f t="shared" si="4"/>
        <v>0.6643543223052295</v>
      </c>
      <c r="N19" s="243"/>
      <c r="O19" s="243"/>
      <c r="P19" s="243"/>
      <c r="Q19" s="2151"/>
      <c r="R19" s="243"/>
      <c r="S19" s="243"/>
      <c r="T19" s="243"/>
      <c r="U19" s="9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01">
        <f t="shared" si="9"/>
        <v>3299</v>
      </c>
      <c r="AI19" s="201">
        <f t="shared" si="9"/>
        <v>3547.7</v>
      </c>
      <c r="AJ19" s="201">
        <f t="shared" si="9"/>
        <v>3381</v>
      </c>
      <c r="AK19" s="2048">
        <f t="shared" si="5"/>
        <v>0.9530118104687545</v>
      </c>
      <c r="AL19" s="225">
        <v>0.75</v>
      </c>
      <c r="AM19" s="241">
        <v>0.75</v>
      </c>
      <c r="AN19" s="944">
        <v>1</v>
      </c>
      <c r="AO19" s="2151">
        <f t="shared" si="6"/>
        <v>1.3333333333333333</v>
      </c>
    </row>
    <row r="20" spans="1:41" s="9" customFormat="1" ht="12.75">
      <c r="A20" s="244" t="s">
        <v>32</v>
      </c>
      <c r="B20" s="237">
        <f>+B21+B23+B22</f>
        <v>44135</v>
      </c>
      <c r="C20" s="237">
        <f>+C21+C23+C22</f>
        <v>39262.2</v>
      </c>
      <c r="D20" s="237">
        <f>+D21+D23+D22</f>
        <v>38621</v>
      </c>
      <c r="E20" s="2049">
        <f t="shared" si="2"/>
        <v>0.983668770471344</v>
      </c>
      <c r="F20" s="237">
        <f>+F21+F23+F22</f>
        <v>11812</v>
      </c>
      <c r="G20" s="237">
        <f>+G21+G23+G22</f>
        <v>10498.7</v>
      </c>
      <c r="H20" s="237">
        <f>+H21+H23+H22</f>
        <v>10306</v>
      </c>
      <c r="I20" s="2049">
        <f t="shared" si="3"/>
        <v>0.9816453465667178</v>
      </c>
      <c r="J20" s="237">
        <f>+J21+J23+J22</f>
        <v>37118</v>
      </c>
      <c r="K20" s="237">
        <f>+K21+K23+K22</f>
        <v>34486</v>
      </c>
      <c r="L20" s="237">
        <f>+L21+L23+L22</f>
        <v>27091</v>
      </c>
      <c r="M20" s="2049">
        <f t="shared" si="4"/>
        <v>0.7855651568752537</v>
      </c>
      <c r="N20" s="237">
        <f>+N21+N23</f>
        <v>0</v>
      </c>
      <c r="O20" s="237">
        <f>+O21+O23</f>
        <v>0</v>
      </c>
      <c r="P20" s="237">
        <f>+P21+P23</f>
        <v>61</v>
      </c>
      <c r="Q20" s="2151">
        <v>0</v>
      </c>
      <c r="R20" s="237">
        <f aca="true" t="shared" si="10" ref="R20:AF20">+R21+R23</f>
        <v>0</v>
      </c>
      <c r="S20" s="237">
        <f t="shared" si="10"/>
        <v>0</v>
      </c>
      <c r="T20" s="237">
        <f t="shared" si="10"/>
        <v>0</v>
      </c>
      <c r="U20" s="237">
        <f t="shared" si="10"/>
        <v>0</v>
      </c>
      <c r="V20" s="237">
        <f t="shared" si="10"/>
        <v>0</v>
      </c>
      <c r="W20" s="237">
        <f t="shared" si="10"/>
        <v>0</v>
      </c>
      <c r="X20" s="237">
        <f t="shared" si="10"/>
        <v>0</v>
      </c>
      <c r="Y20" s="237">
        <f t="shared" si="10"/>
        <v>0</v>
      </c>
      <c r="Z20" s="237">
        <f t="shared" si="10"/>
        <v>0</v>
      </c>
      <c r="AA20" s="237">
        <f t="shared" si="10"/>
        <v>0</v>
      </c>
      <c r="AB20" s="237">
        <f t="shared" si="10"/>
        <v>0</v>
      </c>
      <c r="AC20" s="237">
        <f t="shared" si="10"/>
        <v>0</v>
      </c>
      <c r="AD20" s="237">
        <f t="shared" si="10"/>
        <v>0</v>
      </c>
      <c r="AE20" s="237">
        <f t="shared" si="10"/>
        <v>0</v>
      </c>
      <c r="AF20" s="237">
        <f t="shared" si="10"/>
        <v>0</v>
      </c>
      <c r="AG20" s="237"/>
      <c r="AH20" s="207">
        <f>SUM(AH21:AH23)</f>
        <v>93065</v>
      </c>
      <c r="AI20" s="207">
        <f>SUM(AI21:AI23)</f>
        <v>84246.9</v>
      </c>
      <c r="AJ20" s="207">
        <f>SUM(AJ21:AJ23)</f>
        <v>76079</v>
      </c>
      <c r="AK20" s="2048">
        <f t="shared" si="5"/>
        <v>0.9030480646765638</v>
      </c>
      <c r="AL20" s="94">
        <f>AL21+AL23</f>
        <v>23</v>
      </c>
      <c r="AM20" s="94">
        <f>SUM(AM21:AM23)</f>
        <v>24</v>
      </c>
      <c r="AN20" s="94">
        <f>SUM(AN21:AN23)</f>
        <v>24</v>
      </c>
      <c r="AO20" s="2151">
        <f t="shared" si="6"/>
        <v>1</v>
      </c>
    </row>
    <row r="21" spans="1:41" s="42" customFormat="1" ht="12.75">
      <c r="A21" s="2021" t="s">
        <v>33</v>
      </c>
      <c r="B21" s="2163">
        <f>7128-1282</f>
        <v>5846</v>
      </c>
      <c r="C21" s="2163">
        <f>5846+48.9</f>
        <v>5894.9</v>
      </c>
      <c r="D21" s="240">
        <v>5443</v>
      </c>
      <c r="E21" s="2049">
        <f t="shared" si="2"/>
        <v>0.9233405146821829</v>
      </c>
      <c r="F21" s="240">
        <f>1923-346</f>
        <v>1577</v>
      </c>
      <c r="G21" s="240">
        <f>1577+13.2</f>
        <v>1590.2</v>
      </c>
      <c r="H21" s="240">
        <v>1468</v>
      </c>
      <c r="I21" s="2049">
        <f t="shared" si="3"/>
        <v>0.9231543202112942</v>
      </c>
      <c r="J21" s="240">
        <f>2998+97</f>
        <v>3095</v>
      </c>
      <c r="K21" s="240">
        <v>3095</v>
      </c>
      <c r="L21" s="240">
        <v>1630</v>
      </c>
      <c r="M21" s="2049">
        <f t="shared" si="4"/>
        <v>0.5266558966074314</v>
      </c>
      <c r="N21" s="240"/>
      <c r="O21" s="240"/>
      <c r="P21" s="240">
        <v>61</v>
      </c>
      <c r="Q21" s="2151">
        <v>0</v>
      </c>
      <c r="R21" s="240"/>
      <c r="S21" s="240"/>
      <c r="T21" s="240"/>
      <c r="U21" s="943"/>
      <c r="V21" s="240">
        <v>0</v>
      </c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01">
        <f aca="true" t="shared" si="11" ref="AH21:AJ28">+B21+F21+J21+N21+R21+V21+Z21+AD21</f>
        <v>10518</v>
      </c>
      <c r="AI21" s="201">
        <f t="shared" si="11"/>
        <v>10580.099999999999</v>
      </c>
      <c r="AJ21" s="201">
        <f t="shared" si="11"/>
        <v>8602</v>
      </c>
      <c r="AK21" s="2048">
        <f t="shared" si="5"/>
        <v>0.8130357936125369</v>
      </c>
      <c r="AL21" s="225">
        <v>4</v>
      </c>
      <c r="AM21" s="241">
        <v>4</v>
      </c>
      <c r="AN21" s="944">
        <v>4</v>
      </c>
      <c r="AO21" s="2151">
        <f t="shared" si="6"/>
        <v>1</v>
      </c>
    </row>
    <row r="22" spans="1:41" s="42" customFormat="1" ht="12.75">
      <c r="A22" s="2161" t="s">
        <v>237</v>
      </c>
      <c r="B22" s="2164">
        <f>10676+80</f>
        <v>10756</v>
      </c>
      <c r="C22" s="2164">
        <f>B22-895-6109</f>
        <v>3752</v>
      </c>
      <c r="D22" s="2160">
        <v>3626</v>
      </c>
      <c r="E22" s="2049">
        <f t="shared" si="2"/>
        <v>0.9664179104477612</v>
      </c>
      <c r="F22" s="2164">
        <v>2881</v>
      </c>
      <c r="G22" s="2164">
        <f>F22-241-1647</f>
        <v>993</v>
      </c>
      <c r="H22" s="2160">
        <v>979</v>
      </c>
      <c r="I22" s="2049">
        <f t="shared" si="3"/>
        <v>0.9859013091641491</v>
      </c>
      <c r="J22" s="2164">
        <f>5021+3538</f>
        <v>8559</v>
      </c>
      <c r="K22" s="2164">
        <f>J22-545-2632</f>
        <v>5382</v>
      </c>
      <c r="L22" s="2160">
        <v>4440</v>
      </c>
      <c r="M22" s="2049">
        <f t="shared" si="4"/>
        <v>0.8249721293199554</v>
      </c>
      <c r="N22" s="2160"/>
      <c r="O22" s="2160"/>
      <c r="P22" s="2160"/>
      <c r="Q22" s="2151"/>
      <c r="R22" s="2160"/>
      <c r="S22" s="2160"/>
      <c r="T22" s="2160"/>
      <c r="U22" s="943"/>
      <c r="V22" s="2160"/>
      <c r="W22" s="2160"/>
      <c r="X22" s="2160"/>
      <c r="Y22" s="2160"/>
      <c r="Z22" s="2160"/>
      <c r="AA22" s="2160"/>
      <c r="AB22" s="2160"/>
      <c r="AC22" s="2160"/>
      <c r="AD22" s="2160"/>
      <c r="AE22" s="2160"/>
      <c r="AF22" s="2160"/>
      <c r="AG22" s="2160"/>
      <c r="AH22" s="201">
        <f t="shared" si="11"/>
        <v>22196</v>
      </c>
      <c r="AI22" s="201">
        <f t="shared" si="11"/>
        <v>10127</v>
      </c>
      <c r="AJ22" s="201">
        <f t="shared" si="11"/>
        <v>9045</v>
      </c>
      <c r="AK22" s="2051">
        <f t="shared" si="5"/>
        <v>0.8931569072775748</v>
      </c>
      <c r="AL22" s="225"/>
      <c r="AM22" s="241"/>
      <c r="AN22" s="944"/>
      <c r="AO22" s="2151"/>
    </row>
    <row r="23" spans="1:41" s="42" customFormat="1" ht="12.75">
      <c r="A23" s="2162" t="s">
        <v>244</v>
      </c>
      <c r="B23" s="2165">
        <f>36266-3564-5169</f>
        <v>27533</v>
      </c>
      <c r="C23" s="2165">
        <f>B23+895+1187.3</f>
        <v>29615.3</v>
      </c>
      <c r="D23" s="243">
        <v>29552</v>
      </c>
      <c r="E23" s="2049">
        <f t="shared" si="2"/>
        <v>0.9978625912957154</v>
      </c>
      <c r="F23" s="243">
        <f>9703-962-1387</f>
        <v>7354</v>
      </c>
      <c r="G23" s="243">
        <f>F23+241+320.5</f>
        <v>7915.5</v>
      </c>
      <c r="H23" s="243">
        <v>7859</v>
      </c>
      <c r="I23" s="2049">
        <f t="shared" si="3"/>
        <v>0.9928621059945676</v>
      </c>
      <c r="J23" s="243">
        <f>25128+1660-1324</f>
        <v>25464</v>
      </c>
      <c r="K23" s="243">
        <f>J23+545</f>
        <v>26009</v>
      </c>
      <c r="L23" s="243">
        <v>21021</v>
      </c>
      <c r="M23" s="2049">
        <f t="shared" si="4"/>
        <v>0.8082202314583413</v>
      </c>
      <c r="N23" s="243"/>
      <c r="O23" s="243"/>
      <c r="P23" s="243"/>
      <c r="Q23" s="2151"/>
      <c r="R23" s="243"/>
      <c r="S23" s="243"/>
      <c r="T23" s="243"/>
      <c r="U23" s="943"/>
      <c r="V23" s="243">
        <v>0</v>
      </c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01">
        <f t="shared" si="11"/>
        <v>60351</v>
      </c>
      <c r="AI23" s="201">
        <f t="shared" si="11"/>
        <v>63539.8</v>
      </c>
      <c r="AJ23" s="201">
        <f t="shared" si="11"/>
        <v>58432</v>
      </c>
      <c r="AK23" s="2051">
        <f t="shared" si="5"/>
        <v>0.9196125892747538</v>
      </c>
      <c r="AL23" s="225">
        <v>19</v>
      </c>
      <c r="AM23" s="241">
        <v>20</v>
      </c>
      <c r="AN23" s="944">
        <v>20</v>
      </c>
      <c r="AO23" s="2151">
        <f t="shared" si="6"/>
        <v>1</v>
      </c>
    </row>
    <row r="24" spans="1:41" s="9" customFormat="1" ht="30" customHeight="1">
      <c r="A24" s="246" t="s">
        <v>239</v>
      </c>
      <c r="B24" s="247">
        <f aca="true" t="shared" si="12" ref="B24:AF24">B8+B16+B20</f>
        <v>315199</v>
      </c>
      <c r="C24" s="247">
        <f t="shared" si="12"/>
        <v>324668.5</v>
      </c>
      <c r="D24" s="247">
        <f t="shared" si="12"/>
        <v>331405</v>
      </c>
      <c r="E24" s="2051">
        <f t="shared" si="2"/>
        <v>1.0207488561409561</v>
      </c>
      <c r="F24" s="247">
        <f t="shared" si="12"/>
        <v>85359</v>
      </c>
      <c r="G24" s="247">
        <f t="shared" si="12"/>
        <v>87918.20000000001</v>
      </c>
      <c r="H24" s="247">
        <f t="shared" si="12"/>
        <v>88357</v>
      </c>
      <c r="I24" s="2051">
        <f t="shared" si="3"/>
        <v>1.0049910030005162</v>
      </c>
      <c r="J24" s="247">
        <f t="shared" si="12"/>
        <v>198915</v>
      </c>
      <c r="K24" s="247">
        <f t="shared" si="12"/>
        <v>214283</v>
      </c>
      <c r="L24" s="247">
        <f t="shared" si="12"/>
        <v>167472</v>
      </c>
      <c r="M24" s="2051">
        <f t="shared" si="4"/>
        <v>0.7815458995813946</v>
      </c>
      <c r="N24" s="247">
        <f t="shared" si="12"/>
        <v>4152</v>
      </c>
      <c r="O24" s="247">
        <f t="shared" si="12"/>
        <v>4152</v>
      </c>
      <c r="P24" s="247">
        <f t="shared" si="12"/>
        <v>10508</v>
      </c>
      <c r="Q24" s="2175">
        <f>P24/O24</f>
        <v>2.530828516377649</v>
      </c>
      <c r="R24" s="247">
        <f t="shared" si="12"/>
        <v>0</v>
      </c>
      <c r="S24" s="247">
        <f t="shared" si="12"/>
        <v>0</v>
      </c>
      <c r="T24" s="247">
        <f t="shared" si="12"/>
        <v>0</v>
      </c>
      <c r="U24" s="943"/>
      <c r="V24" s="247">
        <f t="shared" si="12"/>
        <v>0</v>
      </c>
      <c r="W24" s="247">
        <f t="shared" si="12"/>
        <v>0</v>
      </c>
      <c r="X24" s="247">
        <f t="shared" si="12"/>
        <v>0</v>
      </c>
      <c r="Y24" s="247"/>
      <c r="Z24" s="247">
        <f t="shared" si="12"/>
        <v>0</v>
      </c>
      <c r="AA24" s="247">
        <f t="shared" si="12"/>
        <v>0</v>
      </c>
      <c r="AB24" s="247">
        <f t="shared" si="12"/>
        <v>0</v>
      </c>
      <c r="AC24" s="247"/>
      <c r="AD24" s="247">
        <f t="shared" si="12"/>
        <v>0</v>
      </c>
      <c r="AE24" s="247">
        <f t="shared" si="12"/>
        <v>0</v>
      </c>
      <c r="AF24" s="247">
        <f t="shared" si="12"/>
        <v>0</v>
      </c>
      <c r="AG24" s="247"/>
      <c r="AH24" s="207">
        <f t="shared" si="11"/>
        <v>603625</v>
      </c>
      <c r="AI24" s="207">
        <f t="shared" si="11"/>
        <v>631021.7</v>
      </c>
      <c r="AJ24" s="207">
        <f t="shared" si="11"/>
        <v>597742</v>
      </c>
      <c r="AK24" s="2051">
        <f t="shared" si="5"/>
        <v>0.9472606092627243</v>
      </c>
      <c r="AL24" s="248">
        <f>AL8+AL16+AL20</f>
        <v>150</v>
      </c>
      <c r="AM24" s="248">
        <f>AM8+AM16+AM20</f>
        <v>151</v>
      </c>
      <c r="AN24" s="248">
        <f>AN8+AN16+AN20</f>
        <v>150</v>
      </c>
      <c r="AO24" s="2175">
        <f t="shared" si="6"/>
        <v>0.9933774834437086</v>
      </c>
    </row>
    <row r="25" spans="1:41" s="9" customFormat="1" ht="42" customHeight="1">
      <c r="A25" s="54" t="s">
        <v>2257</v>
      </c>
      <c r="B25" s="207">
        <f>2am!B15</f>
        <v>121607.8</v>
      </c>
      <c r="C25" s="207">
        <f>2am!C15</f>
        <v>125668.2</v>
      </c>
      <c r="D25" s="207">
        <f>2am!D15</f>
        <v>121455</v>
      </c>
      <c r="E25" s="2051">
        <f t="shared" si="2"/>
        <v>0.966473618624282</v>
      </c>
      <c r="F25" s="207">
        <f>2am!F15</f>
        <v>30693.116</v>
      </c>
      <c r="G25" s="207">
        <f>2am!G15</f>
        <v>31789</v>
      </c>
      <c r="H25" s="207">
        <f>2am!H15</f>
        <v>30840</v>
      </c>
      <c r="I25" s="2051">
        <f t="shared" si="3"/>
        <v>0.9701469061625091</v>
      </c>
      <c r="J25" s="213">
        <f>2am!J15</f>
        <v>51331.280000000006</v>
      </c>
      <c r="K25" s="213">
        <f>2am!K15</f>
        <v>51331</v>
      </c>
      <c r="L25" s="213">
        <f>2am!L15</f>
        <v>19085</v>
      </c>
      <c r="M25" s="2051">
        <f t="shared" si="4"/>
        <v>0.37180261440455087</v>
      </c>
      <c r="N25" s="48">
        <f>2am!N15</f>
        <v>0</v>
      </c>
      <c r="O25" s="48">
        <f>2am!O15</f>
        <v>0</v>
      </c>
      <c r="P25" s="48">
        <f>2am!P15</f>
        <v>0</v>
      </c>
      <c r="Q25" s="2175">
        <v>0</v>
      </c>
      <c r="R25" s="48">
        <f>2am!R15</f>
        <v>0</v>
      </c>
      <c r="S25" s="48">
        <f>2am!S15</f>
        <v>0</v>
      </c>
      <c r="T25" s="48">
        <f>2am!T15</f>
        <v>618</v>
      </c>
      <c r="U25" s="943"/>
      <c r="V25" s="48">
        <f>2am!V15</f>
        <v>0</v>
      </c>
      <c r="W25" s="48">
        <f>2am!W15</f>
        <v>0</v>
      </c>
      <c r="X25" s="48">
        <f>2am!X15</f>
        <v>0</v>
      </c>
      <c r="Y25" s="48"/>
      <c r="Z25" s="48">
        <f>2am!Z15</f>
        <v>0</v>
      </c>
      <c r="AA25" s="48">
        <f>2am!AA15</f>
        <v>0</v>
      </c>
      <c r="AB25" s="48">
        <f>2am!AB15</f>
        <v>0</v>
      </c>
      <c r="AC25" s="48"/>
      <c r="AD25" s="48">
        <f>2am!AD15</f>
        <v>0</v>
      </c>
      <c r="AE25" s="48">
        <f>2am!AE15</f>
        <v>0</v>
      </c>
      <c r="AF25" s="48">
        <f>2am!AF15</f>
        <v>0</v>
      </c>
      <c r="AG25" s="247"/>
      <c r="AH25" s="207">
        <f t="shared" si="11"/>
        <v>203632.196</v>
      </c>
      <c r="AI25" s="207">
        <f t="shared" si="11"/>
        <v>208788.2</v>
      </c>
      <c r="AJ25" s="207">
        <f t="shared" si="11"/>
        <v>171998</v>
      </c>
      <c r="AK25" s="2051">
        <f t="shared" si="5"/>
        <v>0.8237917660097649</v>
      </c>
      <c r="AL25" s="248">
        <f>2am!AL15</f>
        <v>47</v>
      </c>
      <c r="AM25" s="248">
        <f>2am!AM15</f>
        <v>47</v>
      </c>
      <c r="AN25" s="248">
        <f>2am!AN15</f>
        <v>45</v>
      </c>
      <c r="AO25" s="2175">
        <f t="shared" si="6"/>
        <v>0.9574468085106383</v>
      </c>
    </row>
    <row r="26" spans="1:41" s="9" customFormat="1" ht="33" customHeight="1">
      <c r="A26" s="877" t="s">
        <v>449</v>
      </c>
      <c r="B26" s="247">
        <f>2am!B37</f>
        <v>90259</v>
      </c>
      <c r="C26" s="247">
        <f>2am!C37</f>
        <v>96617</v>
      </c>
      <c r="D26" s="247">
        <f>2am!D37</f>
        <v>97283</v>
      </c>
      <c r="E26" s="2051">
        <f t="shared" si="2"/>
        <v>1.0068931968494157</v>
      </c>
      <c r="F26" s="247">
        <f>2am!F37</f>
        <v>13332.51</v>
      </c>
      <c r="G26" s="247">
        <f>2am!G37</f>
        <v>15047.2</v>
      </c>
      <c r="H26" s="247">
        <f>2am!H37</f>
        <v>15780</v>
      </c>
      <c r="I26" s="2051">
        <f t="shared" si="3"/>
        <v>1.0487000903822639</v>
      </c>
      <c r="J26" s="247">
        <f>2am!J37</f>
        <v>145040.1885</v>
      </c>
      <c r="K26" s="247">
        <f>2am!K37</f>
        <v>147672</v>
      </c>
      <c r="L26" s="247">
        <f>2am!L37</f>
        <v>356354</v>
      </c>
      <c r="M26" s="2051">
        <f t="shared" si="4"/>
        <v>2.4131453491521753</v>
      </c>
      <c r="N26" s="247">
        <f>2am!N37</f>
        <v>197208</v>
      </c>
      <c r="O26" s="247">
        <f>2am!O37</f>
        <v>197208</v>
      </c>
      <c r="P26" s="247">
        <f>2am!P37</f>
        <v>136818</v>
      </c>
      <c r="Q26" s="2175">
        <f>P26/O26</f>
        <v>0.6937751004016064</v>
      </c>
      <c r="R26" s="247">
        <f>2am!R37</f>
        <v>50672</v>
      </c>
      <c r="S26" s="247">
        <f>2am!S37</f>
        <v>50672</v>
      </c>
      <c r="T26" s="247">
        <f>2am!T37</f>
        <v>11803</v>
      </c>
      <c r="U26" s="943">
        <f>T26/S26</f>
        <v>0.2329294284812125</v>
      </c>
      <c r="V26" s="247">
        <f>2am!V37</f>
        <v>57815</v>
      </c>
      <c r="W26" s="247">
        <f>2am!W37</f>
        <v>57815</v>
      </c>
      <c r="X26" s="247">
        <f>2am!X37</f>
        <v>55807</v>
      </c>
      <c r="Y26" s="2054">
        <f>X26/W26</f>
        <v>0.9652685289284788</v>
      </c>
      <c r="Z26" s="247">
        <f>2am!Z37</f>
        <v>57260.182</v>
      </c>
      <c r="AA26" s="247">
        <f>2am!AA37</f>
        <v>57260</v>
      </c>
      <c r="AB26" s="247">
        <f>2am!AB37</f>
        <v>1016538</v>
      </c>
      <c r="AC26" s="2054">
        <f>AB26/AA26</f>
        <v>17.75302130632204</v>
      </c>
      <c r="AD26" s="247">
        <f>2am!AD37</f>
        <v>0</v>
      </c>
      <c r="AE26" s="247">
        <f>2am!AE37</f>
        <v>0</v>
      </c>
      <c r="AF26" s="247">
        <f>2am!AF37</f>
        <v>0</v>
      </c>
      <c r="AG26" s="247"/>
      <c r="AH26" s="207">
        <f t="shared" si="11"/>
        <v>611586.8805</v>
      </c>
      <c r="AI26" s="207">
        <f t="shared" si="11"/>
        <v>622291.2</v>
      </c>
      <c r="AJ26" s="207">
        <f t="shared" si="11"/>
        <v>1690383</v>
      </c>
      <c r="AK26" s="2051">
        <f t="shared" si="5"/>
        <v>2.7163858335133138</v>
      </c>
      <c r="AL26" s="248">
        <f>2am!AL37</f>
        <v>96</v>
      </c>
      <c r="AM26" s="248">
        <f>2am!AM37</f>
        <v>100</v>
      </c>
      <c r="AN26" s="248">
        <f>2am!AN37</f>
        <v>120</v>
      </c>
      <c r="AO26" s="2175">
        <f t="shared" si="6"/>
        <v>1.2</v>
      </c>
    </row>
    <row r="27" spans="1:41" ht="43.5" customHeight="1">
      <c r="A27" s="1991" t="s">
        <v>2259</v>
      </c>
      <c r="B27" s="201">
        <f>+2am!B39</f>
        <v>211866.8</v>
      </c>
      <c r="C27" s="201">
        <f>+2am!C39</f>
        <v>222285.2</v>
      </c>
      <c r="D27" s="201">
        <f>+2am!D39</f>
        <v>218738</v>
      </c>
      <c r="E27" s="2050">
        <f t="shared" si="2"/>
        <v>0.9840421224624941</v>
      </c>
      <c r="F27" s="201">
        <f>+2am!F39</f>
        <v>44025.626000000004</v>
      </c>
      <c r="G27" s="201">
        <f>+2am!G39</f>
        <v>46836.2</v>
      </c>
      <c r="H27" s="201">
        <f>+2am!H39</f>
        <v>46620</v>
      </c>
      <c r="I27" s="2051">
        <f t="shared" si="3"/>
        <v>0.9953839124437935</v>
      </c>
      <c r="J27" s="201">
        <f>+2am!J39</f>
        <v>196371.4685</v>
      </c>
      <c r="K27" s="201">
        <f>+2am!K39</f>
        <v>199003</v>
      </c>
      <c r="L27" s="201">
        <f>+2am!L39</f>
        <v>375439</v>
      </c>
      <c r="M27" s="2051">
        <f t="shared" si="4"/>
        <v>1.8865996995020176</v>
      </c>
      <c r="N27" s="201">
        <f>+2am!N39</f>
        <v>197208</v>
      </c>
      <c r="O27" s="201">
        <f>+2am!O39</f>
        <v>197208</v>
      </c>
      <c r="P27" s="201">
        <f>+2am!P39</f>
        <v>136818</v>
      </c>
      <c r="Q27" s="2175">
        <f>P27/O27</f>
        <v>0.6937751004016064</v>
      </c>
      <c r="R27" s="201">
        <f>+2am!R39</f>
        <v>50672</v>
      </c>
      <c r="S27" s="201">
        <f>+2am!S39</f>
        <v>50672</v>
      </c>
      <c r="T27" s="201">
        <f>+2am!T39</f>
        <v>12421</v>
      </c>
      <c r="U27" s="943">
        <f>T27/S27</f>
        <v>0.2451255131038838</v>
      </c>
      <c r="V27" s="201">
        <f>+2am!V39</f>
        <v>57815</v>
      </c>
      <c r="W27" s="201">
        <f>+2am!W39</f>
        <v>57815</v>
      </c>
      <c r="X27" s="201">
        <f>+2am!X39</f>
        <v>55807</v>
      </c>
      <c r="Y27" s="2054">
        <f>X27/W27</f>
        <v>0.9652685289284788</v>
      </c>
      <c r="Z27" s="201">
        <f>+2am!Z39</f>
        <v>57260.182</v>
      </c>
      <c r="AA27" s="201">
        <f>+2am!AA39</f>
        <v>57260</v>
      </c>
      <c r="AB27" s="201">
        <f>+2am!AB39</f>
        <v>1016538</v>
      </c>
      <c r="AC27" s="2054">
        <f>AB27/AA27</f>
        <v>17.75302130632204</v>
      </c>
      <c r="AD27" s="201">
        <v>0</v>
      </c>
      <c r="AE27" s="201">
        <v>0</v>
      </c>
      <c r="AF27" s="201">
        <v>0</v>
      </c>
      <c r="AG27" s="201"/>
      <c r="AH27" s="743">
        <f t="shared" si="11"/>
        <v>815219.0765</v>
      </c>
      <c r="AI27" s="743">
        <f t="shared" si="11"/>
        <v>831079.4</v>
      </c>
      <c r="AJ27" s="743">
        <f t="shared" si="11"/>
        <v>1862381</v>
      </c>
      <c r="AK27" s="2051">
        <f t="shared" si="5"/>
        <v>2.240918256426522</v>
      </c>
      <c r="AL27" s="225">
        <f>2am!AL39</f>
        <v>143</v>
      </c>
      <c r="AM27" s="225">
        <f>+2am!AM39</f>
        <v>147</v>
      </c>
      <c r="AN27" s="225">
        <f>+2am!AN39</f>
        <v>165</v>
      </c>
      <c r="AO27" s="2175">
        <f t="shared" si="6"/>
        <v>1.1224489795918366</v>
      </c>
    </row>
    <row r="28" spans="1:41" s="252" customFormat="1" ht="26.25" customHeight="1">
      <c r="A28" s="249" t="s">
        <v>240</v>
      </c>
      <c r="B28" s="250">
        <f>+B27+B24</f>
        <v>527065.8</v>
      </c>
      <c r="C28" s="250">
        <f>+C27+C24</f>
        <v>546953.7</v>
      </c>
      <c r="D28" s="250">
        <f>+D27+D24</f>
        <v>550143</v>
      </c>
      <c r="E28" s="2051">
        <f t="shared" si="2"/>
        <v>1.005831023722849</v>
      </c>
      <c r="F28" s="250">
        <f aca="true" t="shared" si="13" ref="F28:AN28">+F27+F24</f>
        <v>129384.626</v>
      </c>
      <c r="G28" s="250">
        <f t="shared" si="13"/>
        <v>134754.40000000002</v>
      </c>
      <c r="H28" s="250">
        <f t="shared" si="13"/>
        <v>134977</v>
      </c>
      <c r="I28" s="2051">
        <f t="shared" si="3"/>
        <v>1.0016518941125483</v>
      </c>
      <c r="J28" s="250">
        <f t="shared" si="13"/>
        <v>395286.46849999996</v>
      </c>
      <c r="K28" s="250">
        <f t="shared" si="13"/>
        <v>413286</v>
      </c>
      <c r="L28" s="250">
        <f t="shared" si="13"/>
        <v>542911</v>
      </c>
      <c r="M28" s="2051">
        <f t="shared" si="4"/>
        <v>1.3136447883547955</v>
      </c>
      <c r="N28" s="250">
        <f t="shared" si="13"/>
        <v>201360</v>
      </c>
      <c r="O28" s="250">
        <f t="shared" si="13"/>
        <v>201360</v>
      </c>
      <c r="P28" s="2053">
        <f t="shared" si="13"/>
        <v>147326</v>
      </c>
      <c r="Q28" s="2175">
        <f>P28/O28</f>
        <v>0.7316547477155344</v>
      </c>
      <c r="R28" s="250">
        <f t="shared" si="13"/>
        <v>50672</v>
      </c>
      <c r="S28" s="250">
        <f t="shared" si="13"/>
        <v>50672</v>
      </c>
      <c r="T28" s="250">
        <f t="shared" si="13"/>
        <v>12421</v>
      </c>
      <c r="U28" s="943">
        <f>T28/S28</f>
        <v>0.2451255131038838</v>
      </c>
      <c r="V28" s="250">
        <f>+V27+V24</f>
        <v>57815</v>
      </c>
      <c r="W28" s="250">
        <f t="shared" si="13"/>
        <v>57815</v>
      </c>
      <c r="X28" s="250">
        <f t="shared" si="13"/>
        <v>55807</v>
      </c>
      <c r="Y28" s="2054">
        <f>X28/W28</f>
        <v>0.9652685289284788</v>
      </c>
      <c r="Z28" s="250">
        <f t="shared" si="13"/>
        <v>57260.182</v>
      </c>
      <c r="AA28" s="250">
        <f t="shared" si="13"/>
        <v>57260</v>
      </c>
      <c r="AB28" s="250">
        <f t="shared" si="13"/>
        <v>1016538</v>
      </c>
      <c r="AC28" s="2054">
        <f>AB28/AA28</f>
        <v>17.75302130632204</v>
      </c>
      <c r="AD28" s="250">
        <f t="shared" si="13"/>
        <v>0</v>
      </c>
      <c r="AE28" s="250">
        <f t="shared" si="13"/>
        <v>0</v>
      </c>
      <c r="AF28" s="250">
        <f t="shared" si="13"/>
        <v>0</v>
      </c>
      <c r="AG28" s="250"/>
      <c r="AH28" s="207">
        <f t="shared" si="11"/>
        <v>1418844.0765</v>
      </c>
      <c r="AI28" s="207">
        <f t="shared" si="11"/>
        <v>1462101.1</v>
      </c>
      <c r="AJ28" s="207">
        <f t="shared" si="11"/>
        <v>2460123</v>
      </c>
      <c r="AK28" s="2051">
        <f t="shared" si="5"/>
        <v>1.6825943158103087</v>
      </c>
      <c r="AL28" s="251">
        <f t="shared" si="13"/>
        <v>293</v>
      </c>
      <c r="AM28" s="251">
        <f t="shared" si="13"/>
        <v>298</v>
      </c>
      <c r="AN28" s="251">
        <f t="shared" si="13"/>
        <v>315</v>
      </c>
      <c r="AO28" s="2175">
        <f t="shared" si="6"/>
        <v>1.0570469798657718</v>
      </c>
    </row>
    <row r="30" ht="12.75">
      <c r="AN30" s="253"/>
    </row>
    <row r="31" spans="2:40" ht="12.75">
      <c r="B31" s="253"/>
      <c r="C31" s="253"/>
      <c r="D31" s="253"/>
      <c r="E31" s="253"/>
      <c r="J31" s="7"/>
      <c r="K31" s="7"/>
      <c r="L31" s="7"/>
      <c r="M31" s="7"/>
      <c r="R31" s="253"/>
      <c r="S31" s="253"/>
      <c r="T31" s="253"/>
      <c r="U31" s="253"/>
      <c r="AD31" s="7"/>
      <c r="AE31" s="7"/>
      <c r="AF31" s="7"/>
      <c r="AG31" s="7"/>
      <c r="AN31" s="253"/>
    </row>
    <row r="32" spans="2:40" ht="12.75">
      <c r="B32" s="253"/>
      <c r="C32" s="253"/>
      <c r="D32" s="253"/>
      <c r="E32" s="253"/>
      <c r="J32" s="7"/>
      <c r="K32" s="7"/>
      <c r="L32" s="7"/>
      <c r="M32" s="7"/>
      <c r="R32" s="253"/>
      <c r="S32" s="253"/>
      <c r="T32" s="253"/>
      <c r="U32" s="253"/>
      <c r="AN32" s="253"/>
    </row>
    <row r="33" spans="2:40" ht="12.75">
      <c r="B33" s="253"/>
      <c r="C33" s="253"/>
      <c r="D33" s="253"/>
      <c r="E33" s="253"/>
      <c r="J33" s="7"/>
      <c r="K33" s="7"/>
      <c r="L33" s="7"/>
      <c r="M33" s="7"/>
      <c r="R33" s="253"/>
      <c r="S33" s="253"/>
      <c r="T33" s="253"/>
      <c r="U33" s="253"/>
      <c r="AH33" s="254">
        <f>AH28-1bm!Z29</f>
        <v>2821.3000000000466</v>
      </c>
      <c r="AL33" s="7">
        <f>+AH33+2482-5460</f>
        <v>-156.69999999995343</v>
      </c>
      <c r="AN33" s="253"/>
    </row>
    <row r="34" spans="2:21" ht="12.75">
      <c r="B34" s="253"/>
      <c r="C34" s="253"/>
      <c r="D34" s="253"/>
      <c r="E34" s="253"/>
      <c r="J34" s="7"/>
      <c r="K34" s="7"/>
      <c r="L34" s="7"/>
      <c r="M34" s="7"/>
      <c r="R34" s="253"/>
      <c r="S34" s="253"/>
      <c r="T34" s="253"/>
      <c r="U34" s="253"/>
    </row>
    <row r="35" spans="2:34" ht="12.75">
      <c r="B35" s="253"/>
      <c r="C35" s="253"/>
      <c r="D35" s="253"/>
      <c r="E35" s="253"/>
      <c r="J35" s="7"/>
      <c r="K35" s="7"/>
      <c r="L35" s="7"/>
      <c r="M35" s="7"/>
      <c r="R35" s="253"/>
      <c r="S35" s="253"/>
      <c r="T35" s="253"/>
      <c r="U35" s="253"/>
      <c r="AH35" s="7"/>
    </row>
    <row r="36" spans="2:21" ht="12.75">
      <c r="B36" s="253"/>
      <c r="C36" s="253"/>
      <c r="D36" s="253"/>
      <c r="E36" s="253"/>
      <c r="J36" s="7"/>
      <c r="K36" s="7"/>
      <c r="L36" s="7"/>
      <c r="M36" s="7"/>
      <c r="R36" s="253"/>
      <c r="S36" s="253"/>
      <c r="T36" s="253"/>
      <c r="U36" s="253"/>
    </row>
    <row r="37" spans="2:13" ht="12.75">
      <c r="B37" s="253"/>
      <c r="C37" s="253"/>
      <c r="D37" s="253"/>
      <c r="E37" s="253"/>
      <c r="J37" s="7"/>
      <c r="K37" s="7"/>
      <c r="L37" s="7"/>
      <c r="M37" s="7"/>
    </row>
    <row r="38" spans="2:13" ht="12.75">
      <c r="B38" s="253"/>
      <c r="C38" s="253"/>
      <c r="D38" s="253"/>
      <c r="E38" s="253"/>
      <c r="J38" s="7"/>
      <c r="K38" s="7"/>
      <c r="L38" s="7"/>
      <c r="M38" s="7"/>
    </row>
    <row r="39" spans="2:13" ht="12.75">
      <c r="B39" s="253"/>
      <c r="C39" s="253"/>
      <c r="D39" s="253"/>
      <c r="E39" s="253"/>
      <c r="J39" s="7"/>
      <c r="K39" s="7"/>
      <c r="L39" s="7"/>
      <c r="M39" s="7"/>
    </row>
  </sheetData>
  <sheetProtection/>
  <mergeCells count="20">
    <mergeCell ref="AH4:AM4"/>
    <mergeCell ref="A3:U3"/>
    <mergeCell ref="V3:AO3"/>
    <mergeCell ref="A2:U2"/>
    <mergeCell ref="V2:AP2"/>
    <mergeCell ref="AM1:AO1"/>
    <mergeCell ref="S1:U1"/>
    <mergeCell ref="A5:A7"/>
    <mergeCell ref="Z5:AC6"/>
    <mergeCell ref="AD5:AG6"/>
    <mergeCell ref="AH5:AK6"/>
    <mergeCell ref="R5:U5"/>
    <mergeCell ref="V5:Y5"/>
    <mergeCell ref="AL5:AO6"/>
    <mergeCell ref="B5:E6"/>
    <mergeCell ref="V6:Y6"/>
    <mergeCell ref="F5:I6"/>
    <mergeCell ref="J5:M6"/>
    <mergeCell ref="N5:Q6"/>
    <mergeCell ref="R6: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50" r:id="rId1"/>
  <colBreaks count="1" manualBreakCount="1">
    <brk id="21" max="27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1"/>
  </sheetPr>
  <dimension ref="A1:F33"/>
  <sheetViews>
    <sheetView view="pageBreakPreview" zoomScaleNormal="85" zoomScaleSheetLayoutView="100" zoomScalePageLayoutView="0" workbookViewId="0" topLeftCell="A10">
      <selection activeCell="B2" sqref="B2:E2"/>
    </sheetView>
  </sheetViews>
  <sheetFormatPr defaultColWidth="9.140625" defaultRowHeight="12.75"/>
  <cols>
    <col min="1" max="1" width="13.57421875" style="0" bestFit="1" customWidth="1"/>
    <col min="2" max="2" width="33.57421875" style="0" bestFit="1" customWidth="1"/>
    <col min="3" max="5" width="11.8515625" style="0" bestFit="1" customWidth="1"/>
    <col min="6" max="6" width="10.57421875" style="0" bestFit="1" customWidth="1"/>
  </cols>
  <sheetData>
    <row r="1" spans="2:5" ht="27" customHeight="1">
      <c r="B1" s="2530" t="s">
        <v>1</v>
      </c>
      <c r="C1" s="2551"/>
      <c r="D1" s="2551"/>
      <c r="E1" s="2551"/>
    </row>
    <row r="2" spans="2:5" ht="22.5" customHeight="1">
      <c r="B2" s="2530" t="s">
        <v>1057</v>
      </c>
      <c r="C2" s="2530"/>
      <c r="D2" s="2530"/>
      <c r="E2" s="2530"/>
    </row>
    <row r="4" spans="1:5" ht="15">
      <c r="A4" s="2515" t="s">
        <v>1373</v>
      </c>
      <c r="B4" s="2515"/>
      <c r="C4" s="2515"/>
      <c r="D4" s="2515"/>
      <c r="E4" s="2515"/>
    </row>
    <row r="5" spans="1:6" ht="12.75">
      <c r="A5" s="2469" t="s">
        <v>165</v>
      </c>
      <c r="B5" s="2469"/>
      <c r="C5" s="2469"/>
      <c r="D5" s="2469"/>
      <c r="E5" s="2469"/>
      <c r="F5" s="7"/>
    </row>
    <row r="6" spans="1:6" ht="12.75">
      <c r="A6" s="66"/>
      <c r="B6" s="66"/>
      <c r="C6" s="67"/>
      <c r="D6" s="67"/>
      <c r="E6" s="67"/>
      <c r="F6" s="7"/>
    </row>
    <row r="7" spans="1:6" ht="15.75">
      <c r="A7" s="2495" t="s">
        <v>169</v>
      </c>
      <c r="B7" s="2495"/>
      <c r="C7" s="2495"/>
      <c r="D7" s="2495"/>
      <c r="E7" s="69"/>
      <c r="F7" s="7"/>
    </row>
    <row r="8" spans="1:6" ht="12.75">
      <c r="A8" s="66"/>
      <c r="B8" s="66"/>
      <c r="C8" s="67"/>
      <c r="D8" s="67"/>
      <c r="E8" s="67"/>
      <c r="F8" s="7"/>
    </row>
    <row r="9" spans="1:6" ht="12.75">
      <c r="A9" s="66"/>
      <c r="B9" s="66"/>
      <c r="C9" s="67"/>
      <c r="D9" s="67"/>
      <c r="E9" s="67"/>
      <c r="F9" s="7"/>
    </row>
    <row r="10" spans="1:6" ht="12.75">
      <c r="A10" s="2420" t="s">
        <v>170</v>
      </c>
      <c r="B10" s="2509"/>
      <c r="C10" s="2509"/>
      <c r="D10" s="2509"/>
      <c r="E10" s="2509"/>
      <c r="F10" s="7"/>
    </row>
    <row r="11" spans="1:6" ht="12.75">
      <c r="A11" s="66"/>
      <c r="B11" s="66"/>
      <c r="C11" s="67"/>
      <c r="D11" s="67"/>
      <c r="E11" s="67"/>
      <c r="F11" s="7"/>
    </row>
    <row r="12" spans="1:6" ht="12.75">
      <c r="A12" s="66"/>
      <c r="B12" s="66"/>
      <c r="C12" s="67"/>
      <c r="D12" s="67"/>
      <c r="E12" s="67"/>
      <c r="F12" s="7"/>
    </row>
    <row r="13" spans="1:6" ht="15.75">
      <c r="A13" s="2495" t="s">
        <v>1386</v>
      </c>
      <c r="B13" s="2495"/>
      <c r="C13" s="2495"/>
      <c r="D13" s="2495"/>
      <c r="E13" s="69"/>
      <c r="F13" s="7"/>
    </row>
    <row r="14" spans="1:6" ht="12.75">
      <c r="A14" s="66"/>
      <c r="B14" s="66"/>
      <c r="C14" s="67"/>
      <c r="D14" s="67"/>
      <c r="E14" s="67"/>
      <c r="F14" s="7"/>
    </row>
    <row r="15" spans="1:6" ht="12.75">
      <c r="A15" s="66"/>
      <c r="B15" s="66"/>
      <c r="C15" s="67"/>
      <c r="D15" s="67"/>
      <c r="E15" s="67"/>
      <c r="F15" s="7"/>
    </row>
    <row r="16" spans="1:6" ht="12.75">
      <c r="A16" s="2469" t="s">
        <v>172</v>
      </c>
      <c r="B16" s="2469"/>
      <c r="C16" s="2469"/>
      <c r="D16" s="2469"/>
      <c r="E16" s="2469"/>
      <c r="F16" s="7"/>
    </row>
    <row r="17" ht="12.75">
      <c r="F17" s="7"/>
    </row>
    <row r="18" spans="1:6" ht="15.75">
      <c r="A18" s="2495" t="s">
        <v>1372</v>
      </c>
      <c r="B18" s="2495"/>
      <c r="C18" s="2495"/>
      <c r="D18" s="2495"/>
      <c r="E18" s="73"/>
      <c r="F18" s="7"/>
    </row>
    <row r="19" spans="1:5" ht="15.75">
      <c r="A19" s="80"/>
      <c r="B19" s="80"/>
      <c r="C19" s="80"/>
      <c r="D19" s="80"/>
      <c r="E19" s="81"/>
    </row>
    <row r="20" spans="1:5" ht="12.75">
      <c r="A20" s="2469" t="s">
        <v>215</v>
      </c>
      <c r="B20" s="2469"/>
      <c r="C20" s="2469"/>
      <c r="D20" s="2469"/>
      <c r="E20" s="2469"/>
    </row>
    <row r="22" spans="1:5" ht="15.75">
      <c r="A22" s="2495" t="s">
        <v>1368</v>
      </c>
      <c r="B22" s="2495"/>
      <c r="C22" s="2495"/>
      <c r="D22" s="2495"/>
      <c r="E22" s="78"/>
    </row>
    <row r="23" spans="1:5" ht="15.75">
      <c r="A23" s="80"/>
      <c r="B23" s="80"/>
      <c r="C23" s="80"/>
      <c r="D23" s="80"/>
      <c r="E23" s="82"/>
    </row>
    <row r="24" spans="1:5" ht="12.75">
      <c r="A24" s="2469" t="s">
        <v>205</v>
      </c>
      <c r="B24" s="2469"/>
      <c r="C24" s="2469"/>
      <c r="D24" s="2469"/>
      <c r="E24" s="2469"/>
    </row>
    <row r="25" spans="1:5" ht="12.75">
      <c r="A25" s="648">
        <v>5831183</v>
      </c>
      <c r="B25" s="364" t="s">
        <v>1526</v>
      </c>
      <c r="C25" s="649"/>
      <c r="D25" s="649">
        <f>+C26</f>
        <v>3600000</v>
      </c>
      <c r="E25" s="93">
        <f>+D25/1000</f>
        <v>3600</v>
      </c>
    </row>
    <row r="26" spans="1:5" ht="12.75">
      <c r="A26" s="349"/>
      <c r="B26" s="354" t="s">
        <v>212</v>
      </c>
      <c r="C26" s="355">
        <f>600*2000*3</f>
        <v>3600000</v>
      </c>
      <c r="D26" s="349"/>
      <c r="E26" s="349"/>
    </row>
    <row r="27" spans="1:5" ht="15.75">
      <c r="A27" s="2490" t="s">
        <v>214</v>
      </c>
      <c r="B27" s="2490"/>
      <c r="C27" s="2490"/>
      <c r="D27" s="2490"/>
      <c r="E27" s="505">
        <f>+E25</f>
        <v>3600</v>
      </c>
    </row>
    <row r="28" spans="1:5" ht="12.75">
      <c r="A28" s="83"/>
      <c r="B28" s="83"/>
      <c r="C28" s="83"/>
      <c r="D28" s="83"/>
      <c r="E28" s="56"/>
    </row>
    <row r="29" spans="1:5" ht="12.75">
      <c r="A29" s="2469" t="s">
        <v>185</v>
      </c>
      <c r="B29" s="2469"/>
      <c r="C29" s="2469"/>
      <c r="D29" s="2469"/>
      <c r="E29" s="2469"/>
    </row>
    <row r="31" spans="1:5" ht="15.75">
      <c r="A31" s="2495" t="s">
        <v>186</v>
      </c>
      <c r="B31" s="2495"/>
      <c r="C31" s="2495"/>
      <c r="D31" s="2495"/>
      <c r="E31" s="78"/>
    </row>
    <row r="33" spans="1:5" ht="15.75">
      <c r="A33" s="2493" t="s">
        <v>1375</v>
      </c>
      <c r="B33" s="2493"/>
      <c r="C33" s="2493"/>
      <c r="D33" s="2493"/>
      <c r="E33" s="79">
        <f>+E31+E22+E18+E13+E7+E27</f>
        <v>3600</v>
      </c>
    </row>
  </sheetData>
  <sheetProtection/>
  <mergeCells count="16">
    <mergeCell ref="B1:E1"/>
    <mergeCell ref="B2:E2"/>
    <mergeCell ref="A31:D31"/>
    <mergeCell ref="A33:D33"/>
    <mergeCell ref="A22:D22"/>
    <mergeCell ref="A24:E24"/>
    <mergeCell ref="A27:D27"/>
    <mergeCell ref="A29:E29"/>
    <mergeCell ref="A13:D13"/>
    <mergeCell ref="A16:E16"/>
    <mergeCell ref="A18:D18"/>
    <mergeCell ref="A20:E20"/>
    <mergeCell ref="A4:E4"/>
    <mergeCell ref="A5:E5"/>
    <mergeCell ref="A7:D7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38"/>
  </sheetPr>
  <dimension ref="A1:I71"/>
  <sheetViews>
    <sheetView zoomScalePageLayoutView="0" workbookViewId="0" topLeftCell="A49">
      <selection activeCell="B14" sqref="B14:D15"/>
    </sheetView>
  </sheetViews>
  <sheetFormatPr defaultColWidth="9.140625" defaultRowHeight="12.75"/>
  <cols>
    <col min="1" max="1" width="9.57421875" style="0" customWidth="1"/>
    <col min="2" max="2" width="56.57421875" style="0" bestFit="1" customWidth="1"/>
    <col min="3" max="3" width="10.7109375" style="0" bestFit="1" customWidth="1"/>
    <col min="4" max="4" width="10.140625" style="0" bestFit="1" customWidth="1"/>
    <col min="6" max="6" width="12.140625" style="0" customWidth="1"/>
  </cols>
  <sheetData>
    <row r="1" ht="12.75">
      <c r="B1" s="1012" t="s">
        <v>1</v>
      </c>
    </row>
    <row r="4" spans="1:4" ht="15">
      <c r="A4" s="2515" t="s">
        <v>1373</v>
      </c>
      <c r="B4" s="2515"/>
      <c r="C4" s="2515"/>
      <c r="D4" s="74"/>
    </row>
    <row r="5" spans="1:4" ht="15">
      <c r="A5" s="2488" t="s">
        <v>165</v>
      </c>
      <c r="B5" s="2488"/>
      <c r="C5" s="2488"/>
      <c r="D5" s="945"/>
    </row>
    <row r="6" spans="1:4" ht="15">
      <c r="A6" s="104"/>
      <c r="B6" s="98"/>
      <c r="C6" s="105" t="s">
        <v>85</v>
      </c>
      <c r="D6" s="105" t="s">
        <v>86</v>
      </c>
    </row>
    <row r="7" spans="1:4" ht="12.75">
      <c r="A7" s="11">
        <v>511115</v>
      </c>
      <c r="B7" s="11" t="s">
        <v>198</v>
      </c>
      <c r="C7" s="35">
        <f>SUM(C8:C18)</f>
        <v>61777325</v>
      </c>
      <c r="D7" s="35">
        <f>+ROUND(C7,-3)/1000</f>
        <v>61777</v>
      </c>
    </row>
    <row r="8" spans="1:4" ht="12.75">
      <c r="A8" s="11"/>
      <c r="B8" s="13" t="s">
        <v>681</v>
      </c>
      <c r="C8" s="948">
        <v>570000</v>
      </c>
      <c r="D8" s="14">
        <f aca="true" t="shared" si="0" ref="D8:D18">+ROUND(C8,-3)/1000</f>
        <v>570</v>
      </c>
    </row>
    <row r="9" spans="1:4" ht="12.75">
      <c r="A9" s="11"/>
      <c r="B9" s="13" t="s">
        <v>682</v>
      </c>
      <c r="C9" s="14">
        <v>285000</v>
      </c>
      <c r="D9" s="14">
        <f t="shared" si="0"/>
        <v>285</v>
      </c>
    </row>
    <row r="10" spans="1:4" ht="12.75">
      <c r="A10" s="11"/>
      <c r="B10" s="13" t="s">
        <v>685</v>
      </c>
      <c r="C10" s="14">
        <v>1323182</v>
      </c>
      <c r="D10" s="14">
        <f t="shared" si="0"/>
        <v>1323</v>
      </c>
    </row>
    <row r="11" spans="1:4" ht="12.75">
      <c r="A11" s="13"/>
      <c r="B11" s="13" t="s">
        <v>355</v>
      </c>
      <c r="C11" s="17">
        <v>820000</v>
      </c>
      <c r="D11" s="14">
        <f t="shared" si="0"/>
        <v>820</v>
      </c>
    </row>
    <row r="12" spans="1:4" ht="12.75">
      <c r="A12" s="13"/>
      <c r="B12" s="13" t="s">
        <v>2247</v>
      </c>
      <c r="C12" s="14">
        <f>10*92000*11</f>
        <v>10120000</v>
      </c>
      <c r="D12" s="14">
        <f t="shared" si="0"/>
        <v>10120</v>
      </c>
    </row>
    <row r="13" spans="1:4" ht="12.75">
      <c r="A13" s="13"/>
      <c r="B13" s="13" t="s">
        <v>2248</v>
      </c>
      <c r="C13" s="14">
        <f>25*71800*11</f>
        <v>19745000</v>
      </c>
      <c r="D13" s="14">
        <f t="shared" si="0"/>
        <v>19745</v>
      </c>
    </row>
    <row r="14" spans="1:4" ht="12.75">
      <c r="A14" s="13"/>
      <c r="B14" s="43" t="s">
        <v>1849</v>
      </c>
      <c r="C14" s="17">
        <f>71800*20*10</f>
        <v>14360000</v>
      </c>
      <c r="D14" s="17">
        <f t="shared" si="0"/>
        <v>14360</v>
      </c>
    </row>
    <row r="15" spans="1:4" ht="12.75">
      <c r="A15" s="514"/>
      <c r="B15" s="43" t="s">
        <v>2249</v>
      </c>
      <c r="C15" s="17">
        <f>2*92000*10+71800*13*10</f>
        <v>11174000</v>
      </c>
      <c r="D15" s="17">
        <f t="shared" si="0"/>
        <v>11174</v>
      </c>
    </row>
    <row r="16" spans="1:4" ht="12.75">
      <c r="A16" s="514"/>
      <c r="B16" s="43" t="s">
        <v>2250</v>
      </c>
      <c r="C16" s="17">
        <f>2*92000*2+3*71800*2</f>
        <v>798800</v>
      </c>
      <c r="D16" s="17">
        <f t="shared" si="0"/>
        <v>799</v>
      </c>
    </row>
    <row r="17" spans="1:4" ht="12.75">
      <c r="A17" s="514"/>
      <c r="B17" s="13" t="s">
        <v>1850</v>
      </c>
      <c r="C17" s="14">
        <v>1569343</v>
      </c>
      <c r="D17" s="14">
        <f t="shared" si="0"/>
        <v>1569</v>
      </c>
    </row>
    <row r="18" spans="1:4" ht="12.75">
      <c r="A18" s="514"/>
      <c r="B18" s="13" t="s">
        <v>1138</v>
      </c>
      <c r="C18" s="14">
        <f>92000*11</f>
        <v>1012000</v>
      </c>
      <c r="D18" s="14">
        <f t="shared" si="0"/>
        <v>1012</v>
      </c>
    </row>
    <row r="19" spans="1:4" ht="12.75">
      <c r="A19" s="11">
        <v>516115</v>
      </c>
      <c r="B19" s="11" t="s">
        <v>1873</v>
      </c>
      <c r="C19" s="35">
        <f>SUM(C20:C24)</f>
        <v>21959414.285714287</v>
      </c>
      <c r="D19" s="35">
        <f>+ROUND(C19,-3)/1000</f>
        <v>21959</v>
      </c>
    </row>
    <row r="20" spans="1:4" ht="12.75">
      <c r="A20" s="11"/>
      <c r="B20" s="13" t="s">
        <v>683</v>
      </c>
      <c r="C20" s="17">
        <v>175500</v>
      </c>
      <c r="D20" s="14">
        <f>+ROUND(C20,-3)/1000</f>
        <v>176</v>
      </c>
    </row>
    <row r="21" spans="1:4" ht="12.75">
      <c r="A21" s="13"/>
      <c r="B21" s="13" t="s">
        <v>356</v>
      </c>
      <c r="C21" s="14">
        <f>11*69000*10+69000*11*13/21</f>
        <v>8059857.142857143</v>
      </c>
      <c r="D21" s="14">
        <f>+ROUND(C21,-3)/1000</f>
        <v>8060</v>
      </c>
    </row>
    <row r="22" spans="1:4" ht="12.75">
      <c r="A22" s="13"/>
      <c r="B22" s="13" t="s">
        <v>357</v>
      </c>
      <c r="C22" s="14">
        <f>24*53850*10+53850*24*13/21</f>
        <v>13724057.142857144</v>
      </c>
      <c r="D22" s="14">
        <f>+ROUND(C22,-3)/1000</f>
        <v>13724</v>
      </c>
    </row>
    <row r="23" spans="1:4" ht="12.75">
      <c r="A23" s="13"/>
      <c r="B23" s="13"/>
      <c r="C23" s="14"/>
      <c r="D23" s="35"/>
    </row>
    <row r="24" spans="1:4" ht="12.75">
      <c r="A24" s="13"/>
      <c r="B24" s="13"/>
      <c r="C24" s="14"/>
      <c r="D24" s="35"/>
    </row>
    <row r="25" spans="1:4" ht="12.75">
      <c r="A25" s="533"/>
      <c r="B25" s="533"/>
      <c r="C25" s="521"/>
      <c r="D25" s="518"/>
    </row>
    <row r="26" spans="1:4" ht="12.75">
      <c r="A26" s="855"/>
      <c r="B26" s="856"/>
      <c r="C26" s="949"/>
      <c r="D26" s="858"/>
    </row>
    <row r="27" spans="1:4" ht="12.75">
      <c r="A27" s="855"/>
      <c r="B27" s="856"/>
      <c r="C27" s="857"/>
      <c r="D27" s="858"/>
    </row>
    <row r="28" spans="1:4" ht="13.5" thickBot="1">
      <c r="A28" s="855"/>
      <c r="B28" s="856"/>
      <c r="C28" s="857"/>
      <c r="D28" s="858"/>
    </row>
    <row r="29" spans="1:4" ht="16.5" thickBot="1">
      <c r="A29" s="2502" t="s">
        <v>169</v>
      </c>
      <c r="B29" s="2503"/>
      <c r="C29" s="2503"/>
      <c r="D29" s="806">
        <f>D7+D19</f>
        <v>83736</v>
      </c>
    </row>
    <row r="30" spans="1:4" ht="15">
      <c r="A30" s="2553" t="s">
        <v>170</v>
      </c>
      <c r="B30" s="2553"/>
      <c r="C30" s="2553"/>
      <c r="D30" s="946"/>
    </row>
    <row r="31" spans="1:4" ht="12.75">
      <c r="A31" s="13">
        <v>53112</v>
      </c>
      <c r="B31" s="13" t="s">
        <v>1068</v>
      </c>
      <c r="C31" s="7">
        <f>SUM(C32:C33)</f>
        <v>11732906.87357143</v>
      </c>
      <c r="D31" s="14">
        <f>+ROUND(C31,-3)/1000</f>
        <v>11733</v>
      </c>
    </row>
    <row r="32" spans="1:4" ht="12.75">
      <c r="A32" s="533"/>
      <c r="B32" s="807" t="s">
        <v>1874</v>
      </c>
      <c r="C32" s="389">
        <f>(C12+C13+C14+C15+C16+C17+C18+C21+C22)*0.135</f>
        <v>10876012.733571429</v>
      </c>
      <c r="D32" s="521"/>
    </row>
    <row r="33" spans="1:4" ht="13.5" thickBot="1">
      <c r="A33" s="855"/>
      <c r="B33" s="859">
        <v>0.27</v>
      </c>
      <c r="C33" s="857">
        <f>(C8+C9+C10+C11+C20)*0.27</f>
        <v>856894.14</v>
      </c>
      <c r="D33" s="860"/>
    </row>
    <row r="34" spans="1:4" ht="16.5" thickBot="1">
      <c r="A34" s="2502" t="s">
        <v>1386</v>
      </c>
      <c r="B34" s="2503"/>
      <c r="C34" s="2503"/>
      <c r="D34" s="509">
        <f>+D31</f>
        <v>11733</v>
      </c>
    </row>
    <row r="35" spans="1:8" ht="15">
      <c r="A35" s="2552" t="s">
        <v>172</v>
      </c>
      <c r="B35" s="2552"/>
      <c r="C35" s="2552"/>
      <c r="D35" s="947"/>
      <c r="G35">
        <v>2821178</v>
      </c>
      <c r="H35" t="s">
        <v>1860</v>
      </c>
    </row>
    <row r="36" spans="1:8" ht="12.75">
      <c r="A36" s="666">
        <v>13132</v>
      </c>
      <c r="B36" s="567" t="s">
        <v>1863</v>
      </c>
      <c r="C36" s="515">
        <v>1314669</v>
      </c>
      <c r="D36" s="532">
        <f>ROUND(C36,-3)/1000</f>
        <v>1315</v>
      </c>
      <c r="G36">
        <v>580063</v>
      </c>
      <c r="H36" t="s">
        <v>1861</v>
      </c>
    </row>
    <row r="37" spans="1:4" ht="12.75">
      <c r="A37" s="666">
        <v>54712</v>
      </c>
      <c r="B37" s="567" t="s">
        <v>1862</v>
      </c>
      <c r="C37" s="515">
        <v>671066</v>
      </c>
      <c r="D37" s="532">
        <f aca="true" t="shared" si="1" ref="D37:D42">ROUND(C37,-3)/1000</f>
        <v>671</v>
      </c>
    </row>
    <row r="38" spans="1:9" ht="12.75">
      <c r="A38" s="666">
        <v>5481</v>
      </c>
      <c r="B38" s="567" t="s">
        <v>1173</v>
      </c>
      <c r="C38" s="515">
        <v>281152</v>
      </c>
      <c r="D38" s="532">
        <f t="shared" si="1"/>
        <v>281</v>
      </c>
      <c r="E38">
        <v>135500</v>
      </c>
      <c r="G38">
        <v>214313</v>
      </c>
      <c r="H38">
        <v>7250</v>
      </c>
      <c r="I38" s="9">
        <f>SUM(E38:H38)</f>
        <v>357063</v>
      </c>
    </row>
    <row r="39" spans="1:4" ht="12.75">
      <c r="A39" s="666"/>
      <c r="B39" s="567" t="s">
        <v>610</v>
      </c>
      <c r="C39" s="515">
        <v>3017100</v>
      </c>
      <c r="D39" s="532">
        <f t="shared" si="1"/>
        <v>3017</v>
      </c>
    </row>
    <row r="40" spans="1:4" ht="12.75">
      <c r="A40" s="666"/>
      <c r="B40" s="567" t="s">
        <v>2086</v>
      </c>
      <c r="C40" s="515">
        <v>2678143</v>
      </c>
      <c r="D40" s="532">
        <f t="shared" si="1"/>
        <v>2678</v>
      </c>
    </row>
    <row r="41" spans="1:4" ht="12.75">
      <c r="A41" s="808">
        <v>55223</v>
      </c>
      <c r="B41" s="1016" t="s">
        <v>114</v>
      </c>
      <c r="C41" s="810">
        <v>382984</v>
      </c>
      <c r="D41" s="532">
        <f t="shared" si="1"/>
        <v>383</v>
      </c>
    </row>
    <row r="42" spans="1:9" ht="13.5" thickBot="1">
      <c r="A42" s="808">
        <v>56111</v>
      </c>
      <c r="B42" s="809" t="s">
        <v>1399</v>
      </c>
      <c r="C42" s="1017">
        <f>(C36+C37+C38+C39+C40+C41)*0.27</f>
        <v>2253180.7800000003</v>
      </c>
      <c r="D42" s="532">
        <f t="shared" si="1"/>
        <v>2253</v>
      </c>
      <c r="E42">
        <v>236500</v>
      </c>
      <c r="F42" t="s">
        <v>1856</v>
      </c>
      <c r="G42">
        <v>483663</v>
      </c>
      <c r="H42">
        <v>132091</v>
      </c>
      <c r="I42" s="9">
        <f>E42+G42+H42</f>
        <v>852254</v>
      </c>
    </row>
    <row r="43" spans="1:9" ht="16.5" thickBot="1">
      <c r="A43" s="1018" t="s">
        <v>1372</v>
      </c>
      <c r="B43" s="1019"/>
      <c r="C43" s="1020">
        <f>SUM(C36:C42)</f>
        <v>10598294.780000001</v>
      </c>
      <c r="D43" s="1021">
        <f>ROUND(C43,-3)/1000</f>
        <v>10598</v>
      </c>
      <c r="E43">
        <v>1203680</v>
      </c>
      <c r="F43" t="s">
        <v>1857</v>
      </c>
      <c r="G43">
        <v>406950</v>
      </c>
      <c r="H43">
        <v>59000</v>
      </c>
      <c r="I43" s="9">
        <f>E43+G43+H43</f>
        <v>1669630</v>
      </c>
    </row>
    <row r="44" spans="1:9" ht="15.75">
      <c r="A44" s="80"/>
      <c r="B44" s="80"/>
      <c r="C44" s="80"/>
      <c r="D44" s="81"/>
      <c r="E44">
        <v>3430500</v>
      </c>
      <c r="F44" t="s">
        <v>1858</v>
      </c>
      <c r="H44">
        <v>401217</v>
      </c>
      <c r="I44" s="9">
        <f>E44+G44+H44</f>
        <v>3831717</v>
      </c>
    </row>
    <row r="45" spans="1:9" ht="15">
      <c r="A45" s="2488" t="s">
        <v>215</v>
      </c>
      <c r="B45" s="2488"/>
      <c r="C45" s="2488"/>
      <c r="D45" s="945"/>
      <c r="E45">
        <v>486390</v>
      </c>
      <c r="F45" t="s">
        <v>1859</v>
      </c>
      <c r="I45" s="9">
        <f>E45+G45+H45</f>
        <v>486390</v>
      </c>
    </row>
    <row r="46" spans="1:9" ht="15">
      <c r="A46" s="98"/>
      <c r="B46" s="98"/>
      <c r="C46" s="98"/>
      <c r="D46" s="98"/>
      <c r="E46" s="9">
        <f>SUM(E38:E45)</f>
        <v>5492570</v>
      </c>
      <c r="F46" s="9"/>
      <c r="G46" s="9">
        <f>SUM(G35:G45)</f>
        <v>4506167</v>
      </c>
      <c r="H46" s="9">
        <f>SUM(H38:H45)</f>
        <v>599558</v>
      </c>
      <c r="I46" s="9"/>
    </row>
    <row r="47" spans="1:4" ht="15.75">
      <c r="A47" s="2495" t="s">
        <v>1368</v>
      </c>
      <c r="B47" s="2495"/>
      <c r="C47" s="2495"/>
      <c r="D47" s="78"/>
    </row>
    <row r="48" spans="1:6" ht="15">
      <c r="A48" s="98"/>
      <c r="B48" s="98"/>
      <c r="C48" s="98"/>
      <c r="D48" s="98"/>
      <c r="F48">
        <f>E46+G46+H46</f>
        <v>10598295</v>
      </c>
    </row>
    <row r="49" spans="1:4" ht="15">
      <c r="A49" s="2488" t="s">
        <v>185</v>
      </c>
      <c r="B49" s="2488"/>
      <c r="C49" s="2488"/>
      <c r="D49" s="945"/>
    </row>
    <row r="50" spans="1:4" ht="15">
      <c r="A50" s="98"/>
      <c r="B50" s="98"/>
      <c r="C50" s="98"/>
      <c r="D50" s="98"/>
    </row>
    <row r="51" spans="1:4" ht="15.75">
      <c r="A51" s="2495" t="s">
        <v>186</v>
      </c>
      <c r="B51" s="2495"/>
      <c r="C51" s="2495"/>
      <c r="D51" s="78"/>
    </row>
    <row r="52" spans="1:4" ht="15">
      <c r="A52" s="98"/>
      <c r="B52" s="98"/>
      <c r="C52" s="98"/>
      <c r="D52" s="98"/>
    </row>
    <row r="53" spans="1:4" ht="15.75">
      <c r="A53" s="2493" t="s">
        <v>1375</v>
      </c>
      <c r="B53" s="2493"/>
      <c r="C53" s="2493"/>
      <c r="D53" s="79">
        <f>+D51+D47+D43+D34+D29</f>
        <v>106067</v>
      </c>
    </row>
    <row r="56" spans="1:4" ht="12.75">
      <c r="A56" s="5"/>
      <c r="B56" s="13" t="s">
        <v>1875</v>
      </c>
      <c r="C56" s="5"/>
      <c r="D56" s="5"/>
    </row>
    <row r="57" spans="1:4" ht="12.75">
      <c r="A57" s="5"/>
      <c r="B57" s="5"/>
      <c r="C57" s="5"/>
      <c r="D57" s="5"/>
    </row>
    <row r="58" spans="1:4" ht="12.75">
      <c r="A58" s="5">
        <v>4641221</v>
      </c>
      <c r="B58" s="13" t="s">
        <v>1876</v>
      </c>
      <c r="C58" s="35">
        <f>SUM(C59:C70)</f>
        <v>96347745.3525</v>
      </c>
      <c r="D58" s="35">
        <f>ROUND(C58,-3)/1000</f>
        <v>96348</v>
      </c>
    </row>
    <row r="59" spans="1:4" ht="12.75">
      <c r="A59" s="5"/>
      <c r="B59" s="13" t="s">
        <v>679</v>
      </c>
      <c r="C59" s="6">
        <f>C8*1.27*0.7</f>
        <v>506729.99999999994</v>
      </c>
      <c r="D59" s="6">
        <f aca="true" t="shared" si="2" ref="D59:D70">+ROUND(C59,-3)/1000</f>
        <v>507</v>
      </c>
    </row>
    <row r="60" spans="1:4" ht="12.75">
      <c r="A60" s="5"/>
      <c r="B60" s="13" t="s">
        <v>680</v>
      </c>
      <c r="C60" s="6">
        <f>C20*1.27</f>
        <v>222885</v>
      </c>
      <c r="D60" s="6">
        <f t="shared" si="2"/>
        <v>223</v>
      </c>
    </row>
    <row r="61" spans="1:4" ht="12.75">
      <c r="A61" s="5"/>
      <c r="B61" s="13" t="s">
        <v>684</v>
      </c>
      <c r="C61" s="6">
        <f>C10*1.27*0.7</f>
        <v>1176308.798</v>
      </c>
      <c r="D61" s="6">
        <f t="shared" si="2"/>
        <v>1176</v>
      </c>
    </row>
    <row r="62" spans="1:4" ht="12.75">
      <c r="A62" s="5"/>
      <c r="B62" s="13" t="s">
        <v>1851</v>
      </c>
      <c r="C62" s="6">
        <f>(C12+C13)*1.135</f>
        <v>33896775</v>
      </c>
      <c r="D62" s="6">
        <f t="shared" si="2"/>
        <v>33897</v>
      </c>
    </row>
    <row r="63" spans="1:4" ht="12.75">
      <c r="A63" s="5"/>
      <c r="B63" s="13" t="s">
        <v>1852</v>
      </c>
      <c r="C63" s="6">
        <f>C14*1.135</f>
        <v>16298600</v>
      </c>
      <c r="D63" s="6">
        <f t="shared" si="2"/>
        <v>16299</v>
      </c>
    </row>
    <row r="64" spans="1:4" ht="12.75">
      <c r="A64" s="5"/>
      <c r="B64" s="13" t="s">
        <v>1853</v>
      </c>
      <c r="C64" s="6">
        <f>C15*1.135</f>
        <v>12682490</v>
      </c>
      <c r="D64" s="6">
        <f t="shared" si="2"/>
        <v>12682</v>
      </c>
    </row>
    <row r="65" spans="1:4" ht="12.75">
      <c r="A65" s="5"/>
      <c r="B65" s="13" t="s">
        <v>1854</v>
      </c>
      <c r="C65" s="6">
        <f>C16*1.135</f>
        <v>906638</v>
      </c>
      <c r="D65" s="6">
        <f t="shared" si="2"/>
        <v>907</v>
      </c>
    </row>
    <row r="66" spans="1:4" ht="12.75">
      <c r="A66" s="5"/>
      <c r="B66" s="13" t="s">
        <v>1855</v>
      </c>
      <c r="C66" s="6">
        <f>C17*1.135*0.9</f>
        <v>1603083.8745</v>
      </c>
      <c r="D66" s="6">
        <f t="shared" si="2"/>
        <v>1603</v>
      </c>
    </row>
    <row r="67" spans="1:4" ht="12.75">
      <c r="A67" s="5"/>
      <c r="B67" s="13" t="s">
        <v>358</v>
      </c>
      <c r="C67" s="6">
        <f>C21*1.135*0.7</f>
        <v>6403556.499999999</v>
      </c>
      <c r="D67" s="6">
        <f t="shared" si="2"/>
        <v>6404</v>
      </c>
    </row>
    <row r="68" spans="1:4" ht="12.75">
      <c r="A68" s="5"/>
      <c r="B68" s="13" t="s">
        <v>359</v>
      </c>
      <c r="C68" s="6">
        <f>C22*1.135*0.7</f>
        <v>10903763.4</v>
      </c>
      <c r="D68" s="6">
        <f t="shared" si="2"/>
        <v>10904</v>
      </c>
    </row>
    <row r="69" spans="1:4" ht="12.75">
      <c r="A69" s="5"/>
      <c r="B69" s="13" t="s">
        <v>1139</v>
      </c>
      <c r="C69" s="6">
        <f>C18*1.135</f>
        <v>1148620</v>
      </c>
      <c r="D69" s="6">
        <f t="shared" si="2"/>
        <v>1149</v>
      </c>
    </row>
    <row r="70" spans="1:4" ht="12.75">
      <c r="A70" s="5"/>
      <c r="B70" s="13" t="s">
        <v>596</v>
      </c>
      <c r="C70" s="6">
        <f>C43</f>
        <v>10598294.780000001</v>
      </c>
      <c r="D70" s="6">
        <f t="shared" si="2"/>
        <v>10598</v>
      </c>
    </row>
    <row r="71" spans="1:4" ht="15.75">
      <c r="A71" s="667" t="s">
        <v>1374</v>
      </c>
      <c r="B71" s="667"/>
      <c r="C71" s="667"/>
      <c r="D71" s="668">
        <f>+D58</f>
        <v>96348</v>
      </c>
    </row>
  </sheetData>
  <sheetProtection/>
  <mergeCells count="11">
    <mergeCell ref="A4:C4"/>
    <mergeCell ref="A5:C5"/>
    <mergeCell ref="A29:C29"/>
    <mergeCell ref="A30:C30"/>
    <mergeCell ref="A53:C53"/>
    <mergeCell ref="A34:C34"/>
    <mergeCell ref="A35:C35"/>
    <mergeCell ref="A45:C45"/>
    <mergeCell ref="A47:C47"/>
    <mergeCell ref="A49:C49"/>
    <mergeCell ref="A51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3"/>
  </sheetPr>
  <dimension ref="A1:F2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1.8515625" style="0" bestFit="1" customWidth="1"/>
    <col min="2" max="2" width="14.140625" style="0" customWidth="1"/>
    <col min="3" max="3" width="5.7109375" style="0" bestFit="1" customWidth="1"/>
    <col min="4" max="4" width="11.57421875" style="0" bestFit="1" customWidth="1"/>
    <col min="5" max="5" width="8.57421875" style="0" bestFit="1" customWidth="1"/>
    <col min="6" max="6" width="16.00390625" style="0" bestFit="1" customWidth="1"/>
  </cols>
  <sheetData>
    <row r="1" spans="1:6" ht="12.75">
      <c r="A1" s="2419" t="s">
        <v>1258</v>
      </c>
      <c r="B1" s="2419"/>
      <c r="C1" s="2419"/>
      <c r="D1" s="2419"/>
      <c r="E1" s="2419"/>
      <c r="F1" s="2419"/>
    </row>
    <row r="2" ht="13.5" thickBot="1"/>
    <row r="3" spans="1:6" ht="26.25" thickBot="1">
      <c r="A3" s="691" t="s">
        <v>1886</v>
      </c>
      <c r="B3" s="692" t="s">
        <v>1887</v>
      </c>
      <c r="C3" s="693" t="s">
        <v>1888</v>
      </c>
      <c r="D3" s="693" t="s">
        <v>1532</v>
      </c>
      <c r="E3" s="693" t="s">
        <v>1889</v>
      </c>
      <c r="F3" s="694" t="s">
        <v>1901</v>
      </c>
    </row>
    <row r="4" spans="1:6" ht="12.75">
      <c r="A4" s="677" t="s">
        <v>148</v>
      </c>
      <c r="B4" s="678">
        <v>49</v>
      </c>
      <c r="C4" s="1431">
        <f>+B4*0.05</f>
        <v>2.45</v>
      </c>
      <c r="D4" s="679">
        <f>+C4*964500</f>
        <v>2363025</v>
      </c>
      <c r="E4" s="680">
        <f>+ROUND(D4,-3)/1000</f>
        <v>2363</v>
      </c>
      <c r="F4" s="681">
        <f>+D4/4</f>
        <v>590756.25</v>
      </c>
    </row>
    <row r="5" spans="1:6" ht="12.75">
      <c r="A5" s="682" t="s">
        <v>1890</v>
      </c>
      <c r="B5" s="206">
        <v>18</v>
      </c>
      <c r="C5" s="209">
        <f aca="true" t="shared" si="0" ref="C5:C19">+B5*0.05</f>
        <v>0.9</v>
      </c>
      <c r="D5" s="6">
        <f aca="true" t="shared" si="1" ref="D5:D19">+C5*964500</f>
        <v>868050</v>
      </c>
      <c r="E5" s="5">
        <f aca="true" t="shared" si="2" ref="E5:E19">+ROUND(D5,-3)/1000</f>
        <v>868</v>
      </c>
      <c r="F5" s="683">
        <f aca="true" t="shared" si="3" ref="F5:F19">+D5/4</f>
        <v>217012.5</v>
      </c>
    </row>
    <row r="6" spans="1:6" ht="12.75">
      <c r="A6" s="682" t="s">
        <v>1891</v>
      </c>
      <c r="B6" s="206">
        <v>9</v>
      </c>
      <c r="C6" s="209">
        <f t="shared" si="0"/>
        <v>0.45</v>
      </c>
      <c r="D6" s="6">
        <f t="shared" si="1"/>
        <v>434025</v>
      </c>
      <c r="E6" s="5">
        <f t="shared" si="2"/>
        <v>434</v>
      </c>
      <c r="F6" s="683">
        <f t="shared" si="3"/>
        <v>108506.25</v>
      </c>
    </row>
    <row r="7" spans="1:6" ht="12.75">
      <c r="A7" s="682" t="s">
        <v>100</v>
      </c>
      <c r="B7" s="206">
        <v>26</v>
      </c>
      <c r="C7" s="209">
        <f t="shared" si="0"/>
        <v>1.3</v>
      </c>
      <c r="D7" s="6">
        <f t="shared" si="1"/>
        <v>1253850</v>
      </c>
      <c r="E7" s="5">
        <f t="shared" si="2"/>
        <v>1254</v>
      </c>
      <c r="F7" s="683">
        <f t="shared" si="3"/>
        <v>313462.5</v>
      </c>
    </row>
    <row r="8" spans="1:6" ht="12.75">
      <c r="A8" s="682" t="s">
        <v>1892</v>
      </c>
      <c r="B8" s="206">
        <v>8</v>
      </c>
      <c r="C8" s="209">
        <f t="shared" si="0"/>
        <v>0.4</v>
      </c>
      <c r="D8" s="6">
        <f t="shared" si="1"/>
        <v>385800</v>
      </c>
      <c r="E8" s="5">
        <f t="shared" si="2"/>
        <v>386</v>
      </c>
      <c r="F8" s="683">
        <f t="shared" si="3"/>
        <v>96450</v>
      </c>
    </row>
    <row r="9" spans="1:6" ht="12.75">
      <c r="A9" s="682" t="s">
        <v>1893</v>
      </c>
      <c r="B9" s="206">
        <v>8</v>
      </c>
      <c r="C9" s="209">
        <f t="shared" si="0"/>
        <v>0.4</v>
      </c>
      <c r="D9" s="6">
        <f t="shared" si="1"/>
        <v>385800</v>
      </c>
      <c r="E9" s="5">
        <f t="shared" si="2"/>
        <v>386</v>
      </c>
      <c r="F9" s="683">
        <f t="shared" si="3"/>
        <v>96450</v>
      </c>
    </row>
    <row r="10" spans="1:6" ht="12.75">
      <c r="A10" s="682" t="s">
        <v>1894</v>
      </c>
      <c r="B10" s="799">
        <v>8.25</v>
      </c>
      <c r="C10" s="209">
        <v>0</v>
      </c>
      <c r="D10" s="6">
        <f t="shared" si="1"/>
        <v>0</v>
      </c>
      <c r="E10" s="5">
        <f t="shared" si="2"/>
        <v>0</v>
      </c>
      <c r="F10" s="683">
        <f t="shared" si="3"/>
        <v>0</v>
      </c>
    </row>
    <row r="11" spans="1:6" ht="12.75">
      <c r="A11" s="682" t="s">
        <v>1895</v>
      </c>
      <c r="B11" s="800">
        <v>0.75</v>
      </c>
      <c r="C11" s="209">
        <f>B11*0.05</f>
        <v>0.037500000000000006</v>
      </c>
      <c r="D11" s="6">
        <v>0</v>
      </c>
      <c r="E11" s="5">
        <f t="shared" si="2"/>
        <v>0</v>
      </c>
      <c r="F11" s="683">
        <f t="shared" si="3"/>
        <v>0</v>
      </c>
    </row>
    <row r="12" spans="1:6" ht="12.75">
      <c r="A12" s="682" t="s">
        <v>1896</v>
      </c>
      <c r="B12" s="206">
        <v>5</v>
      </c>
      <c r="C12" s="209">
        <f t="shared" si="0"/>
        <v>0.25</v>
      </c>
      <c r="D12" s="6">
        <f t="shared" si="1"/>
        <v>241125</v>
      </c>
      <c r="E12" s="5">
        <f t="shared" si="2"/>
        <v>241</v>
      </c>
      <c r="F12" s="683">
        <f t="shared" si="3"/>
        <v>60281.25</v>
      </c>
    </row>
    <row r="13" spans="1:6" ht="12.75">
      <c r="A13" s="682" t="s">
        <v>1897</v>
      </c>
      <c r="B13" s="206">
        <v>5</v>
      </c>
      <c r="C13" s="209">
        <f t="shared" si="0"/>
        <v>0.25</v>
      </c>
      <c r="D13" s="6">
        <f t="shared" si="1"/>
        <v>241125</v>
      </c>
      <c r="E13" s="5">
        <f t="shared" si="2"/>
        <v>241</v>
      </c>
      <c r="F13" s="683">
        <f t="shared" si="3"/>
        <v>60281.25</v>
      </c>
    </row>
    <row r="14" spans="1:6" ht="12.75">
      <c r="A14" s="682" t="s">
        <v>1898</v>
      </c>
      <c r="B14" s="206">
        <v>22</v>
      </c>
      <c r="C14" s="209">
        <f t="shared" si="0"/>
        <v>1.1</v>
      </c>
      <c r="D14" s="6">
        <f t="shared" si="1"/>
        <v>1060950</v>
      </c>
      <c r="E14" s="5">
        <f t="shared" si="2"/>
        <v>1061</v>
      </c>
      <c r="F14" s="683">
        <f t="shared" si="3"/>
        <v>265237.5</v>
      </c>
    </row>
    <row r="15" spans="1:6" ht="12.75">
      <c r="A15" s="682" t="s">
        <v>1899</v>
      </c>
      <c r="B15" s="206">
        <v>31</v>
      </c>
      <c r="C15" s="209">
        <f t="shared" si="0"/>
        <v>1.55</v>
      </c>
      <c r="D15" s="6">
        <f t="shared" si="1"/>
        <v>1494975</v>
      </c>
      <c r="E15" s="5">
        <f t="shared" si="2"/>
        <v>1495</v>
      </c>
      <c r="F15" s="683">
        <f t="shared" si="3"/>
        <v>373743.75</v>
      </c>
    </row>
    <row r="16" spans="1:6" ht="12.75">
      <c r="A16" s="682" t="s">
        <v>175</v>
      </c>
      <c r="B16" s="206">
        <v>6</v>
      </c>
      <c r="C16" s="209">
        <f t="shared" si="0"/>
        <v>0.30000000000000004</v>
      </c>
      <c r="D16" s="6">
        <f t="shared" si="1"/>
        <v>289350.00000000006</v>
      </c>
      <c r="E16" s="5">
        <f t="shared" si="2"/>
        <v>289</v>
      </c>
      <c r="F16" s="683">
        <f t="shared" si="3"/>
        <v>72337.50000000001</v>
      </c>
    </row>
    <row r="17" spans="1:6" ht="12.75">
      <c r="A17" s="682" t="s">
        <v>1563</v>
      </c>
      <c r="B17" s="206">
        <v>2</v>
      </c>
      <c r="C17" s="209">
        <f t="shared" si="0"/>
        <v>0.1</v>
      </c>
      <c r="D17" s="6">
        <f t="shared" si="1"/>
        <v>96450</v>
      </c>
      <c r="E17" s="5">
        <f t="shared" si="2"/>
        <v>96</v>
      </c>
      <c r="F17" s="683">
        <f t="shared" si="3"/>
        <v>24112.5</v>
      </c>
    </row>
    <row r="18" spans="1:6" ht="12.75">
      <c r="A18" s="682" t="s">
        <v>1900</v>
      </c>
      <c r="B18" s="206">
        <v>6</v>
      </c>
      <c r="C18" s="209">
        <f t="shared" si="0"/>
        <v>0.30000000000000004</v>
      </c>
      <c r="D18" s="6">
        <f t="shared" si="1"/>
        <v>289350.00000000006</v>
      </c>
      <c r="E18" s="5">
        <f t="shared" si="2"/>
        <v>289</v>
      </c>
      <c r="F18" s="683">
        <f t="shared" si="3"/>
        <v>72337.50000000001</v>
      </c>
    </row>
    <row r="19" spans="1:6" ht="13.5" thickBot="1">
      <c r="A19" s="702" t="s">
        <v>1284</v>
      </c>
      <c r="B19" s="684">
        <v>2</v>
      </c>
      <c r="C19" s="1432">
        <f t="shared" si="0"/>
        <v>0.1</v>
      </c>
      <c r="D19" s="685">
        <f t="shared" si="1"/>
        <v>96450</v>
      </c>
      <c r="E19" s="686">
        <f t="shared" si="2"/>
        <v>96</v>
      </c>
      <c r="F19" s="687">
        <f t="shared" si="3"/>
        <v>24112.5</v>
      </c>
    </row>
    <row r="20" spans="1:6" ht="13.5" thickBot="1">
      <c r="A20" s="688"/>
      <c r="B20" s="689">
        <f>SUM(B4:B18)</f>
        <v>204</v>
      </c>
      <c r="C20" s="689">
        <f>SUM(C4:C19)</f>
        <v>9.887500000000003</v>
      </c>
      <c r="D20" s="690">
        <f>SUM(D4:D19)</f>
        <v>9500325</v>
      </c>
      <c r="E20" s="690">
        <f>SUM(E4:E19)</f>
        <v>9499</v>
      </c>
      <c r="F20" s="690">
        <f>SUM(F4:F19)</f>
        <v>2375081.25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50"/>
  </sheetPr>
  <dimension ref="A3:J36"/>
  <sheetViews>
    <sheetView view="pageBreakPreview" zoomScale="75" zoomScaleSheetLayoutView="75" zoomScalePageLayoutView="0" workbookViewId="0" topLeftCell="A22">
      <selection activeCell="A4" sqref="A4:C4"/>
    </sheetView>
  </sheetViews>
  <sheetFormatPr defaultColWidth="9.140625" defaultRowHeight="27" customHeight="1"/>
  <cols>
    <col min="1" max="1" width="51.8515625" style="418" customWidth="1"/>
    <col min="2" max="2" width="18.00390625" style="418" customWidth="1"/>
    <col min="3" max="3" width="18.8515625" style="418" customWidth="1"/>
    <col min="4" max="4" width="33.140625" style="418" customWidth="1"/>
    <col min="5" max="7" width="20.140625" style="418" customWidth="1"/>
    <col min="8" max="8" width="23.00390625" style="418" customWidth="1"/>
    <col min="9" max="9" width="9.421875" style="418" bestFit="1" customWidth="1"/>
    <col min="10" max="16384" width="9.140625" style="418" customWidth="1"/>
  </cols>
  <sheetData>
    <row r="3" spans="2:3" ht="27" customHeight="1">
      <c r="B3" s="2554"/>
      <c r="C3" s="2554"/>
    </row>
    <row r="4" spans="1:3" ht="63" customHeight="1">
      <c r="A4" s="2555" t="s">
        <v>675</v>
      </c>
      <c r="B4" s="2555"/>
      <c r="C4" s="2555"/>
    </row>
    <row r="5" spans="1:4" s="45" customFormat="1" ht="52.5" customHeight="1">
      <c r="A5" s="142" t="s">
        <v>1432</v>
      </c>
      <c r="B5" s="142" t="s">
        <v>99</v>
      </c>
      <c r="C5" s="142" t="s">
        <v>100</v>
      </c>
      <c r="D5" s="416"/>
    </row>
    <row r="6" spans="1:10" ht="27" customHeight="1">
      <c r="A6" s="143" t="s">
        <v>597</v>
      </c>
      <c r="B6" s="1434">
        <f>B7+B8</f>
        <v>265756</v>
      </c>
      <c r="C6" s="1434">
        <f>C7+C8</f>
        <v>87354</v>
      </c>
      <c r="D6" s="145"/>
      <c r="E6" s="145"/>
      <c r="F6" s="145"/>
      <c r="G6" s="145"/>
      <c r="H6" s="145"/>
      <c r="I6" s="146"/>
      <c r="J6" s="146"/>
    </row>
    <row r="7" spans="1:10" ht="27" customHeight="1">
      <c r="A7" s="143" t="s">
        <v>598</v>
      </c>
      <c r="B7" s="1434">
        <f>220243+38287</f>
        <v>258530</v>
      </c>
      <c r="C7" s="1434">
        <f>'okt.int.kiad.ktv.2010.'!F13</f>
        <v>87354</v>
      </c>
      <c r="D7" s="1983" t="s">
        <v>2077</v>
      </c>
      <c r="E7" s="145"/>
      <c r="F7" s="145"/>
      <c r="G7" s="145"/>
      <c r="H7" s="145"/>
      <c r="I7" s="146"/>
      <c r="J7" s="146"/>
    </row>
    <row r="8" spans="1:10" ht="27" customHeight="1">
      <c r="A8" s="143" t="s">
        <v>599</v>
      </c>
      <c r="B8" s="1440">
        <f>6751+475</f>
        <v>7226</v>
      </c>
      <c r="C8" s="1434">
        <v>0</v>
      </c>
      <c r="D8" s="1983" t="s">
        <v>672</v>
      </c>
      <c r="E8" s="145"/>
      <c r="F8" s="145"/>
      <c r="G8" s="145"/>
      <c r="H8" s="145"/>
      <c r="I8" s="146"/>
      <c r="J8" s="146"/>
    </row>
    <row r="9" spans="1:10" ht="27" customHeight="1">
      <c r="A9" s="143" t="s">
        <v>101</v>
      </c>
      <c r="B9" s="1434">
        <v>0</v>
      </c>
      <c r="C9" s="1434">
        <f>'okt.int.bev.ktv.2010.'!D15</f>
        <v>0</v>
      </c>
      <c r="D9" s="145"/>
      <c r="E9" s="145"/>
      <c r="F9" s="145"/>
      <c r="G9" s="145"/>
      <c r="H9" s="145"/>
      <c r="I9" s="146"/>
      <c r="J9" s="146"/>
    </row>
    <row r="10" spans="1:10" ht="27" customHeight="1">
      <c r="A10" s="143" t="s">
        <v>1763</v>
      </c>
      <c r="B10" s="1434">
        <v>78337</v>
      </c>
      <c r="C10" s="1434">
        <v>30393</v>
      </c>
      <c r="D10" s="145"/>
      <c r="E10" s="145"/>
      <c r="F10" s="145"/>
      <c r="G10" s="145"/>
      <c r="H10" s="145"/>
      <c r="I10" s="146"/>
      <c r="J10" s="146"/>
    </row>
    <row r="11" spans="1:10" ht="27" customHeight="1">
      <c r="A11" s="143" t="s">
        <v>1764</v>
      </c>
      <c r="B11" s="1434">
        <v>8957</v>
      </c>
      <c r="C11" s="1434">
        <v>99</v>
      </c>
      <c r="D11" s="428" t="s">
        <v>2078</v>
      </c>
      <c r="E11" s="145"/>
      <c r="F11" s="144"/>
      <c r="G11" s="145"/>
      <c r="H11" s="145"/>
      <c r="I11" s="146"/>
      <c r="J11" s="146"/>
    </row>
    <row r="12" spans="1:10" ht="27" customHeight="1">
      <c r="A12" s="143" t="s">
        <v>1292</v>
      </c>
      <c r="B12" s="1434">
        <f>5670+14643-13902</f>
        <v>6411</v>
      </c>
      <c r="C12" s="1434">
        <f>1575-1050</f>
        <v>525</v>
      </c>
      <c r="D12" s="1983" t="s">
        <v>673</v>
      </c>
      <c r="E12" s="145"/>
      <c r="F12" s="145"/>
      <c r="G12" s="145"/>
      <c r="H12" s="145"/>
      <c r="I12" s="145"/>
      <c r="J12" s="146"/>
    </row>
    <row r="13" spans="1:10" ht="27" customHeight="1">
      <c r="A13" s="143" t="s">
        <v>102</v>
      </c>
      <c r="B13" s="1434">
        <v>1732</v>
      </c>
      <c r="C13" s="1434">
        <v>0</v>
      </c>
      <c r="D13" s="145"/>
      <c r="E13" s="145"/>
      <c r="F13" s="145"/>
      <c r="G13" s="145"/>
      <c r="H13" s="145"/>
      <c r="I13" s="146"/>
      <c r="J13" s="146"/>
    </row>
    <row r="14" spans="1:10" ht="27" customHeight="1">
      <c r="A14" s="143" t="s">
        <v>103</v>
      </c>
      <c r="B14" s="1434">
        <v>2434</v>
      </c>
      <c r="C14" s="1434">
        <v>0</v>
      </c>
      <c r="D14" s="145"/>
      <c r="E14" s="145"/>
      <c r="F14" s="145"/>
      <c r="G14" s="145"/>
      <c r="H14" s="145"/>
      <c r="I14" s="146"/>
      <c r="J14" s="146"/>
    </row>
    <row r="15" spans="1:10" ht="27" customHeight="1">
      <c r="A15" s="143" t="s">
        <v>600</v>
      </c>
      <c r="B15" s="144">
        <v>0</v>
      </c>
      <c r="C15" s="144">
        <v>0</v>
      </c>
      <c r="D15" s="145"/>
      <c r="E15" s="145"/>
      <c r="F15" s="145"/>
      <c r="G15" s="145"/>
      <c r="H15" s="145"/>
      <c r="I15" s="146"/>
      <c r="J15" s="146"/>
    </row>
    <row r="16" spans="1:10" ht="27" customHeight="1">
      <c r="A16" s="143" t="s">
        <v>602</v>
      </c>
      <c r="B16" s="1434">
        <v>1523</v>
      </c>
      <c r="C16" s="144">
        <v>0</v>
      </c>
      <c r="D16" s="145"/>
      <c r="E16" s="145"/>
      <c r="F16" s="145"/>
      <c r="G16" s="145"/>
      <c r="H16" s="145"/>
      <c r="I16" s="146"/>
      <c r="J16" s="146"/>
    </row>
    <row r="17" spans="1:10" ht="27" customHeight="1">
      <c r="A17" s="143" t="s">
        <v>104</v>
      </c>
      <c r="B17" s="144">
        <f>SUM(B9:B16)</f>
        <v>99394</v>
      </c>
      <c r="C17" s="144">
        <f>SUM(C9:C16)</f>
        <v>31017</v>
      </c>
      <c r="D17" s="145"/>
      <c r="E17" s="145"/>
      <c r="F17" s="145"/>
      <c r="G17" s="145"/>
      <c r="H17" s="145"/>
      <c r="I17" s="146"/>
      <c r="J17" s="146"/>
    </row>
    <row r="18" spans="1:10" ht="27" customHeight="1">
      <c r="A18" s="141" t="s">
        <v>105</v>
      </c>
      <c r="B18" s="144">
        <f>B6-B17</f>
        <v>166362</v>
      </c>
      <c r="C18" s="144">
        <f>C6-C17</f>
        <v>56337</v>
      </c>
      <c r="D18" s="145"/>
      <c r="E18" s="145"/>
      <c r="F18" s="145"/>
      <c r="G18" s="145"/>
      <c r="H18" s="145"/>
      <c r="I18" s="146"/>
      <c r="J18" s="146"/>
    </row>
    <row r="19" spans="1:10" ht="27" customHeight="1">
      <c r="A19" s="143" t="s">
        <v>106</v>
      </c>
      <c r="B19" s="1434">
        <v>460</v>
      </c>
      <c r="C19" s="1434">
        <v>159</v>
      </c>
      <c r="D19" s="145"/>
      <c r="E19" s="145"/>
      <c r="F19" s="145"/>
      <c r="G19" s="145"/>
      <c r="H19" s="145"/>
      <c r="I19" s="146"/>
      <c r="J19" s="146"/>
    </row>
    <row r="20" spans="1:10" ht="27" customHeight="1">
      <c r="A20" s="143" t="s">
        <v>108</v>
      </c>
      <c r="B20" s="144">
        <f>B18/B19*1000</f>
        <v>361656.52173913043</v>
      </c>
      <c r="C20" s="144">
        <f>C18/C19*1000</f>
        <v>354320.75471698114</v>
      </c>
      <c r="D20" s="145"/>
      <c r="E20" s="145"/>
      <c r="F20" s="145"/>
      <c r="G20" s="145"/>
      <c r="H20" s="145"/>
      <c r="I20" s="146"/>
      <c r="J20" s="146"/>
    </row>
    <row r="21" spans="1:10" ht="27" customHeight="1">
      <c r="A21" s="143" t="s">
        <v>456</v>
      </c>
      <c r="B21" s="1434">
        <f>1546+1867+13902</f>
        <v>17315</v>
      </c>
      <c r="C21" s="1434">
        <f>480+1050</f>
        <v>1530</v>
      </c>
      <c r="D21" s="145"/>
      <c r="E21" s="145"/>
      <c r="F21" s="145"/>
      <c r="G21" s="145"/>
      <c r="H21" s="145"/>
      <c r="I21" s="148"/>
      <c r="J21" s="146"/>
    </row>
    <row r="22" spans="1:8" ht="27" customHeight="1">
      <c r="A22" s="143" t="s">
        <v>109</v>
      </c>
      <c r="B22" s="1434">
        <v>111</v>
      </c>
      <c r="C22" s="1434">
        <v>14</v>
      </c>
      <c r="D22" s="147"/>
      <c r="E22" s="147"/>
      <c r="F22" s="147"/>
      <c r="G22" s="147"/>
      <c r="H22" s="147"/>
    </row>
    <row r="23" spans="1:8" ht="27" customHeight="1">
      <c r="A23" s="143" t="s">
        <v>111</v>
      </c>
      <c r="B23" s="144">
        <f>B21/B22*1000</f>
        <v>155990.99099099098</v>
      </c>
      <c r="C23" s="144">
        <f>C21/C22*1000</f>
        <v>109285.71428571429</v>
      </c>
      <c r="D23" s="147"/>
      <c r="E23" s="147"/>
      <c r="F23" s="147"/>
      <c r="G23" s="147"/>
      <c r="H23" s="147"/>
    </row>
    <row r="24" spans="1:3" ht="27" customHeight="1">
      <c r="A24" s="143" t="s">
        <v>110</v>
      </c>
      <c r="B24" s="144">
        <f>B20-B23</f>
        <v>205665.53074813946</v>
      </c>
      <c r="C24" s="144">
        <f>C20-C23</f>
        <v>245035.04043126685</v>
      </c>
    </row>
    <row r="25" spans="1:3" ht="27" customHeight="1">
      <c r="A25" s="143" t="s">
        <v>1762</v>
      </c>
      <c r="B25" s="144">
        <f>B24</f>
        <v>205665.53074813946</v>
      </c>
      <c r="C25" s="144">
        <f>C24</f>
        <v>245035.04043126685</v>
      </c>
    </row>
    <row r="26" spans="1:8" s="45" customFormat="1" ht="54.75" customHeight="1">
      <c r="A26" s="142" t="s">
        <v>115</v>
      </c>
      <c r="B26" s="370" t="s">
        <v>1005</v>
      </c>
      <c r="C26" s="371" t="s">
        <v>1010</v>
      </c>
      <c r="D26" s="142" t="s">
        <v>1009</v>
      </c>
      <c r="E26" s="371" t="s">
        <v>1011</v>
      </c>
      <c r="F26" s="371" t="s">
        <v>674</v>
      </c>
      <c r="G26" s="142" t="s">
        <v>1004</v>
      </c>
      <c r="H26" s="142" t="s">
        <v>1012</v>
      </c>
    </row>
    <row r="27" spans="1:9" ht="27" customHeight="1">
      <c r="A27" s="143" t="s">
        <v>1818</v>
      </c>
      <c r="B27" s="148">
        <v>12</v>
      </c>
      <c r="C27" s="144">
        <f>B25*B27</f>
        <v>2467986.3689776734</v>
      </c>
      <c r="D27" s="148">
        <v>7</v>
      </c>
      <c r="E27" s="144">
        <f>D27*C25</f>
        <v>1715245.283018868</v>
      </c>
      <c r="F27" s="144">
        <f>C27+E27</f>
        <v>4183231.6519965413</v>
      </c>
      <c r="G27" s="144">
        <v>3900093</v>
      </c>
      <c r="H27" s="144">
        <f>F27+G27</f>
        <v>8083324.651996542</v>
      </c>
      <c r="I27" s="418" t="s">
        <v>1177</v>
      </c>
    </row>
    <row r="28" spans="1:8" ht="27" customHeight="1">
      <c r="A28" s="143" t="s">
        <v>1823</v>
      </c>
      <c r="B28" s="148">
        <v>0</v>
      </c>
      <c r="C28" s="144">
        <f>B25*B28</f>
        <v>0</v>
      </c>
      <c r="D28" s="148">
        <v>0</v>
      </c>
      <c r="E28" s="144"/>
      <c r="F28" s="144">
        <f aca="true" t="shared" si="0" ref="F28:F36">C28+E28</f>
        <v>0</v>
      </c>
      <c r="G28" s="144">
        <v>0</v>
      </c>
      <c r="H28" s="144">
        <f aca="true" t="shared" si="1" ref="H28:H35">F28+G28</f>
        <v>0</v>
      </c>
    </row>
    <row r="29" spans="1:8" ht="27" customHeight="1">
      <c r="A29" s="143" t="s">
        <v>999</v>
      </c>
      <c r="B29" s="148">
        <v>10</v>
      </c>
      <c r="C29" s="144">
        <f>B25*B29</f>
        <v>2056655.3074813946</v>
      </c>
      <c r="D29" s="148">
        <v>0</v>
      </c>
      <c r="E29" s="144"/>
      <c r="F29" s="144">
        <f t="shared" si="0"/>
        <v>2056655.3074813946</v>
      </c>
      <c r="G29" s="144">
        <v>265162</v>
      </c>
      <c r="H29" s="144">
        <f t="shared" si="1"/>
        <v>2321817.3074813946</v>
      </c>
    </row>
    <row r="30" spans="1:8" ht="27" customHeight="1">
      <c r="A30" s="143" t="s">
        <v>1000</v>
      </c>
      <c r="B30" s="148">
        <v>15</v>
      </c>
      <c r="C30" s="144">
        <f>B25*B30</f>
        <v>3084982.9612220917</v>
      </c>
      <c r="D30" s="148">
        <v>0</v>
      </c>
      <c r="E30" s="144"/>
      <c r="F30" s="144">
        <f t="shared" si="0"/>
        <v>3084982.9612220917</v>
      </c>
      <c r="G30" s="144">
        <v>146385</v>
      </c>
      <c r="H30" s="144">
        <f t="shared" si="1"/>
        <v>3231367.9612220917</v>
      </c>
    </row>
    <row r="31" spans="1:8" ht="27" customHeight="1">
      <c r="A31" s="143" t="s">
        <v>1001</v>
      </c>
      <c r="B31" s="148">
        <v>5</v>
      </c>
      <c r="C31" s="144">
        <f>B25*B31</f>
        <v>1028327.6537406973</v>
      </c>
      <c r="D31" s="148">
        <v>0</v>
      </c>
      <c r="E31" s="144"/>
      <c r="F31" s="144">
        <f t="shared" si="0"/>
        <v>1028327.6537406973</v>
      </c>
      <c r="G31" s="144">
        <v>0</v>
      </c>
      <c r="H31" s="144">
        <f t="shared" si="1"/>
        <v>1028327.6537406973</v>
      </c>
    </row>
    <row r="32" spans="1:8" ht="27" customHeight="1">
      <c r="A32" s="143" t="s">
        <v>1002</v>
      </c>
      <c r="B32" s="148">
        <f>1+1</f>
        <v>2</v>
      </c>
      <c r="C32" s="144">
        <f>B25*B32</f>
        <v>411331.0614962789</v>
      </c>
      <c r="D32" s="148">
        <v>0</v>
      </c>
      <c r="E32" s="144"/>
      <c r="F32" s="144">
        <f t="shared" si="0"/>
        <v>411331.0614962789</v>
      </c>
      <c r="G32" s="144">
        <v>-43313</v>
      </c>
      <c r="H32" s="144">
        <f t="shared" si="1"/>
        <v>368018.0614962789</v>
      </c>
    </row>
    <row r="33" spans="1:8" ht="27" customHeight="1">
      <c r="A33" s="143" t="s">
        <v>1819</v>
      </c>
      <c r="B33" s="148">
        <f>5+9</f>
        <v>14</v>
      </c>
      <c r="C33" s="144">
        <f>B25*B33</f>
        <v>2879317.4304739526</v>
      </c>
      <c r="D33" s="148">
        <v>7</v>
      </c>
      <c r="E33" s="144">
        <f>D33*C25</f>
        <v>1715245.283018868</v>
      </c>
      <c r="F33" s="144">
        <f t="shared" si="0"/>
        <v>4594562.71349282</v>
      </c>
      <c r="G33" s="144">
        <v>0</v>
      </c>
      <c r="H33" s="144">
        <f t="shared" si="1"/>
        <v>4594562.71349282</v>
      </c>
    </row>
    <row r="34" spans="1:8" ht="27" customHeight="1">
      <c r="A34" s="143" t="s">
        <v>1820</v>
      </c>
      <c r="B34" s="148">
        <v>36</v>
      </c>
      <c r="C34" s="144">
        <f>B34*B25</f>
        <v>7403959.10693302</v>
      </c>
      <c r="D34" s="148">
        <v>0</v>
      </c>
      <c r="E34" s="144"/>
      <c r="F34" s="144">
        <f t="shared" si="0"/>
        <v>7403959.10693302</v>
      </c>
      <c r="G34" s="144">
        <v>2074047</v>
      </c>
      <c r="H34" s="144">
        <f t="shared" si="1"/>
        <v>9478006.10693302</v>
      </c>
    </row>
    <row r="35" spans="1:8" ht="27" customHeight="1">
      <c r="A35" s="143" t="s">
        <v>1003</v>
      </c>
      <c r="B35" s="148">
        <v>17</v>
      </c>
      <c r="C35" s="144">
        <f>B25*B35</f>
        <v>3496314.022718371</v>
      </c>
      <c r="D35" s="148">
        <v>0</v>
      </c>
      <c r="E35" s="144"/>
      <c r="F35" s="144">
        <f t="shared" si="0"/>
        <v>3496314.022718371</v>
      </c>
      <c r="G35" s="144">
        <v>0</v>
      </c>
      <c r="H35" s="144">
        <f t="shared" si="1"/>
        <v>3496314.022718371</v>
      </c>
    </row>
    <row r="36" spans="1:8" ht="27" customHeight="1">
      <c r="A36" s="143" t="s">
        <v>1433</v>
      </c>
      <c r="B36" s="144">
        <f aca="true" t="shared" si="2" ref="B36:H36">B27+B28+B29+B30+B31+B32+B33+B34+B35</f>
        <v>111</v>
      </c>
      <c r="C36" s="144">
        <f t="shared" si="2"/>
        <v>22828873.913043477</v>
      </c>
      <c r="D36" s="144">
        <f t="shared" si="2"/>
        <v>14</v>
      </c>
      <c r="E36" s="144">
        <f t="shared" si="2"/>
        <v>3430490.566037736</v>
      </c>
      <c r="F36" s="144">
        <f t="shared" si="0"/>
        <v>26259364.479081213</v>
      </c>
      <c r="G36" s="144">
        <f t="shared" si="2"/>
        <v>6342374</v>
      </c>
      <c r="H36" s="449">
        <f t="shared" si="2"/>
        <v>32601738.479081213</v>
      </c>
    </row>
  </sheetData>
  <sheetProtection/>
  <mergeCells count="2">
    <mergeCell ref="B3:C3"/>
    <mergeCell ref="A4:C4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36"/>
  </sheetPr>
  <dimension ref="A1:F14"/>
  <sheetViews>
    <sheetView zoomScalePageLayoutView="0" workbookViewId="0" topLeftCell="A1">
      <selection activeCell="D14" sqref="D14"/>
    </sheetView>
  </sheetViews>
  <sheetFormatPr defaultColWidth="30.7109375" defaultRowHeight="34.5" customHeight="1"/>
  <cols>
    <col min="1" max="1" width="30.7109375" style="210" customWidth="1"/>
    <col min="2" max="2" width="20.421875" style="368" customWidth="1"/>
    <col min="3" max="3" width="20.28125" style="210" customWidth="1"/>
    <col min="4" max="5" width="30.7109375" style="210" customWidth="1"/>
    <col min="6" max="6" width="30.7109375" style="368" customWidth="1"/>
    <col min="7" max="16384" width="30.7109375" style="210" customWidth="1"/>
  </cols>
  <sheetData>
    <row r="1" spans="2:4" ht="34.5" customHeight="1" thickBot="1">
      <c r="B1" s="2556" t="s">
        <v>1092</v>
      </c>
      <c r="C1" s="2557"/>
      <c r="D1" s="2557"/>
    </row>
    <row r="2" spans="1:6" s="365" customFormat="1" ht="34.5" customHeight="1">
      <c r="A2" s="812" t="s">
        <v>1432</v>
      </c>
      <c r="B2" s="817" t="s">
        <v>1756</v>
      </c>
      <c r="C2" s="812" t="s">
        <v>1815</v>
      </c>
      <c r="D2" s="821" t="s">
        <v>1821</v>
      </c>
      <c r="E2" s="812" t="s">
        <v>1091</v>
      </c>
      <c r="F2" s="406"/>
    </row>
    <row r="3" spans="1:5" ht="16.5" customHeight="1">
      <c r="A3" s="813" t="s">
        <v>1810</v>
      </c>
      <c r="B3" s="818">
        <f>(Bérek2012!Y5+Bérek2012!Y7+Bérek2012!Y9+Bérek2012!Y12+Bérek2012!Y13+Bérek2012!Y17+Bérek2012!Y18+Bérek2012!Y20+Bérek2012!Y21+Bérek2012!Y23+Bérek2012!Y26+Bérek2012!Y33+Bérek2012!Y34+Bérek2012!Y36+Bérek2012!Y37+Bérek2012!Y41+Bérek2012!Y42)/1000</f>
        <v>44756.928</v>
      </c>
      <c r="C3" s="824"/>
      <c r="D3" s="467"/>
      <c r="E3" s="824"/>
    </row>
    <row r="4" spans="1:5" ht="16.5" customHeight="1">
      <c r="A4" s="813" t="s">
        <v>1811</v>
      </c>
      <c r="B4" s="818">
        <f>B3*0.27</f>
        <v>12084.370560000001</v>
      </c>
      <c r="C4" s="824"/>
      <c r="D4" s="467"/>
      <c r="E4" s="824"/>
    </row>
    <row r="5" spans="1:5" ht="16.5" customHeight="1">
      <c r="A5" s="813" t="s">
        <v>1812</v>
      </c>
      <c r="B5" s="818">
        <f>'841126-116-Önk. igazgatás'!E137-'841126-116-Önk. igazgatás'!E114+'841133-adó beszedése'!E30</f>
        <v>42700.23</v>
      </c>
      <c r="C5" s="824"/>
      <c r="D5" s="467"/>
      <c r="E5" s="824"/>
    </row>
    <row r="6" spans="1:5" ht="16.5" customHeight="1">
      <c r="A6" s="813" t="s">
        <v>1813</v>
      </c>
      <c r="B6" s="818">
        <f>B3+B4+B5</f>
        <v>99541.52856</v>
      </c>
      <c r="C6" s="824"/>
      <c r="D6" s="467"/>
      <c r="E6" s="824"/>
    </row>
    <row r="7" spans="1:5" ht="16.5" customHeight="1">
      <c r="A7" s="813" t="s">
        <v>1814</v>
      </c>
      <c r="B7" s="818">
        <f>3042+2304</f>
        <v>5346</v>
      </c>
      <c r="C7" s="824"/>
      <c r="D7" s="467"/>
      <c r="E7" s="824"/>
    </row>
    <row r="8" spans="1:5" ht="16.5" customHeight="1">
      <c r="A8" s="813" t="s">
        <v>1816</v>
      </c>
      <c r="B8" s="818">
        <f>B6-B7</f>
        <v>94195.52856</v>
      </c>
      <c r="C8" s="824"/>
      <c r="D8" s="467"/>
      <c r="E8" s="824"/>
    </row>
    <row r="9" spans="1:5" ht="16.5" customHeight="1" thickBot="1">
      <c r="A9" s="814" t="s">
        <v>1817</v>
      </c>
      <c r="B9" s="819">
        <f>B8*C9/C13</f>
        <v>82245.68735873139</v>
      </c>
      <c r="C9" s="825">
        <v>5451</v>
      </c>
      <c r="D9" s="208"/>
      <c r="E9" s="825"/>
    </row>
    <row r="10" spans="1:6" s="365" customFormat="1" ht="16.5" customHeight="1" thickBot="1">
      <c r="A10" s="815" t="s">
        <v>1818</v>
      </c>
      <c r="B10" s="820">
        <f>B8*C10/C13</f>
        <v>2610.2557169437773</v>
      </c>
      <c r="C10" s="815">
        <v>173</v>
      </c>
      <c r="D10" s="822">
        <v>2858</v>
      </c>
      <c r="E10" s="826">
        <f>B10+D10</f>
        <v>5468.255716943777</v>
      </c>
      <c r="F10" s="406"/>
    </row>
    <row r="11" spans="1:6" s="365" customFormat="1" ht="16.5" customHeight="1" thickBot="1">
      <c r="A11" s="815" t="s">
        <v>1819</v>
      </c>
      <c r="B11" s="820">
        <f>B8*C11/C13</f>
        <v>2685.696633618453</v>
      </c>
      <c r="C11" s="815">
        <v>178</v>
      </c>
      <c r="D11" s="822">
        <v>0</v>
      </c>
      <c r="E11" s="826">
        <f>B11+D11</f>
        <v>2685.696633618453</v>
      </c>
      <c r="F11" s="406"/>
    </row>
    <row r="12" spans="1:5" ht="16.5" customHeight="1" thickBot="1">
      <c r="A12" s="816" t="s">
        <v>1820</v>
      </c>
      <c r="B12" s="466">
        <f>B8*C12/C13</f>
        <v>6653.888850706392</v>
      </c>
      <c r="C12" s="816">
        <v>441</v>
      </c>
      <c r="D12" s="823">
        <v>0</v>
      </c>
      <c r="E12" s="827">
        <f>B12+D12</f>
        <v>6653.888850706392</v>
      </c>
    </row>
    <row r="13" spans="1:5" ht="16.5" customHeight="1" thickBot="1">
      <c r="A13" s="815" t="s">
        <v>1433</v>
      </c>
      <c r="B13" s="820">
        <f>B9+B10+B11+B12</f>
        <v>94195.52856000002</v>
      </c>
      <c r="C13" s="815">
        <f>C9+C10+C11+C12</f>
        <v>6243</v>
      </c>
      <c r="D13" s="822">
        <f>D10+D11+D12</f>
        <v>2858</v>
      </c>
      <c r="E13" s="828">
        <f>E10+E11+E12</f>
        <v>14807.84120126862</v>
      </c>
    </row>
    <row r="14" ht="34.5" customHeight="1">
      <c r="E14" s="210">
        <v>20121000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3:G23"/>
  <sheetViews>
    <sheetView view="pageBreakPreview" zoomScaleSheetLayoutView="100" zoomScalePageLayoutView="0" workbookViewId="0" topLeftCell="A4">
      <selection activeCell="C10" sqref="C10"/>
    </sheetView>
  </sheetViews>
  <sheetFormatPr defaultColWidth="9.140625" defaultRowHeight="27" customHeight="1"/>
  <cols>
    <col min="1" max="1" width="37.140625" style="149" customWidth="1"/>
    <col min="2" max="2" width="16.7109375" style="149" customWidth="1"/>
    <col min="3" max="3" width="16.421875" style="149" customWidth="1"/>
    <col min="4" max="4" width="13.421875" style="149" customWidth="1"/>
    <col min="5" max="5" width="17.140625" style="149" customWidth="1"/>
    <col min="6" max="6" width="15.00390625" style="149" customWidth="1"/>
    <col min="7" max="7" width="14.28125" style="149" customWidth="1"/>
    <col min="8" max="16384" width="9.140625" style="149" customWidth="1"/>
  </cols>
  <sheetData>
    <row r="3" spans="6:7" ht="27" customHeight="1">
      <c r="F3" s="2559" t="s">
        <v>219</v>
      </c>
      <c r="G3" s="2559"/>
    </row>
    <row r="4" spans="1:7" ht="27" customHeight="1">
      <c r="A4" s="2558" t="s">
        <v>345</v>
      </c>
      <c r="B4" s="2558"/>
      <c r="C4" s="2558"/>
      <c r="D4" s="2558"/>
      <c r="E4" s="2558"/>
      <c r="F4" s="2558"/>
      <c r="G4" s="2558"/>
    </row>
    <row r="5" spans="6:7" ht="27" customHeight="1">
      <c r="F5" s="2560" t="s">
        <v>1756</v>
      </c>
      <c r="G5" s="2561"/>
    </row>
    <row r="6" spans="1:7" s="30" customFormat="1" ht="35.25" customHeight="1">
      <c r="A6" s="2562" t="s">
        <v>1426</v>
      </c>
      <c r="B6" s="141" t="s">
        <v>1428</v>
      </c>
      <c r="C6" s="141" t="s">
        <v>1414</v>
      </c>
      <c r="D6" s="141" t="s">
        <v>1427</v>
      </c>
      <c r="E6" s="142" t="s">
        <v>1416</v>
      </c>
      <c r="F6" s="142" t="s">
        <v>1430</v>
      </c>
      <c r="G6" s="141" t="s">
        <v>123</v>
      </c>
    </row>
    <row r="7" spans="1:7" s="30" customFormat="1" ht="27" customHeight="1">
      <c r="A7" s="2562"/>
      <c r="B7" s="163" t="s">
        <v>1415</v>
      </c>
      <c r="C7" s="163" t="s">
        <v>1415</v>
      </c>
      <c r="D7" s="163" t="s">
        <v>1415</v>
      </c>
      <c r="E7" s="163" t="s">
        <v>1415</v>
      </c>
      <c r="F7" s="163" t="s">
        <v>1415</v>
      </c>
      <c r="G7" s="163" t="s">
        <v>173</v>
      </c>
    </row>
    <row r="8" spans="1:7" ht="27" customHeight="1">
      <c r="A8" s="143" t="s">
        <v>1482</v>
      </c>
      <c r="B8" s="370">
        <f aca="true" t="shared" si="0" ref="B8:G8">B9+B13+B14+B15</f>
        <v>230780</v>
      </c>
      <c r="C8" s="370">
        <f t="shared" si="0"/>
        <v>62751</v>
      </c>
      <c r="D8" s="370">
        <f t="shared" si="0"/>
        <v>136854</v>
      </c>
      <c r="E8" s="370">
        <f t="shared" si="0"/>
        <v>3552</v>
      </c>
      <c r="F8" s="370">
        <f t="shared" si="0"/>
        <v>433937</v>
      </c>
      <c r="G8" s="370">
        <f t="shared" si="0"/>
        <v>109</v>
      </c>
    </row>
    <row r="9" spans="1:7" s="30" customFormat="1" ht="27" customHeight="1">
      <c r="A9" s="164" t="s">
        <v>132</v>
      </c>
      <c r="B9" s="377">
        <f>B10+B11</f>
        <v>135729</v>
      </c>
      <c r="C9" s="377">
        <f>C10+C11</f>
        <v>36965</v>
      </c>
      <c r="D9" s="377">
        <f>D10+D11</f>
        <v>115930</v>
      </c>
      <c r="E9" s="377">
        <f>E10+E11</f>
        <v>3552</v>
      </c>
      <c r="F9" s="370">
        <f aca="true" t="shared" si="1" ref="F9:F15">SUM(B9:E9)</f>
        <v>292176</v>
      </c>
      <c r="G9" s="376">
        <f>G10+G11</f>
        <v>67</v>
      </c>
    </row>
    <row r="10" spans="1:7" ht="27" customHeight="1">
      <c r="A10" s="157" t="s">
        <v>1514</v>
      </c>
      <c r="B10" s="150">
        <f>2bm!B10</f>
        <v>89484</v>
      </c>
      <c r="C10" s="150">
        <f>2bm!F10</f>
        <v>24031</v>
      </c>
      <c r="D10" s="150">
        <f>2bm!J10</f>
        <v>98435</v>
      </c>
      <c r="E10" s="150">
        <f>2bm!N10</f>
        <v>2400</v>
      </c>
      <c r="F10" s="378">
        <f t="shared" si="1"/>
        <v>214350</v>
      </c>
      <c r="G10" s="151">
        <f>2bm!AL10</f>
        <v>49</v>
      </c>
    </row>
    <row r="11" spans="1:7" ht="27" customHeight="1">
      <c r="A11" s="152" t="s">
        <v>1515</v>
      </c>
      <c r="B11" s="150">
        <f>2bm!B11</f>
        <v>46245</v>
      </c>
      <c r="C11" s="150">
        <f>2bm!F11</f>
        <v>12934</v>
      </c>
      <c r="D11" s="150">
        <f>2bm!J11</f>
        <v>17495</v>
      </c>
      <c r="E11" s="150">
        <f>2bm!N11</f>
        <v>1152</v>
      </c>
      <c r="F11" s="378">
        <f t="shared" si="1"/>
        <v>77826</v>
      </c>
      <c r="G11" s="151">
        <f>2bm!AL11</f>
        <v>18</v>
      </c>
    </row>
    <row r="12" spans="1:7" s="104" customFormat="1" ht="27" customHeight="1">
      <c r="A12" s="383" t="s">
        <v>1765</v>
      </c>
      <c r="B12" s="380">
        <f>2bm!B12</f>
        <v>23369</v>
      </c>
      <c r="C12" s="380">
        <f>2bm!F12</f>
        <v>6281</v>
      </c>
      <c r="D12" s="380">
        <f>2bm!J12</f>
        <v>11927</v>
      </c>
      <c r="E12" s="380">
        <f>2bm!N12</f>
        <v>600</v>
      </c>
      <c r="F12" s="381">
        <f t="shared" si="1"/>
        <v>42177</v>
      </c>
      <c r="G12" s="382">
        <f>2bm!AL12</f>
        <v>9</v>
      </c>
    </row>
    <row r="13" spans="1:7" s="30" customFormat="1" ht="27" customHeight="1">
      <c r="A13" s="38" t="s">
        <v>1516</v>
      </c>
      <c r="B13" s="379">
        <f>2bm!B13</f>
        <v>55705</v>
      </c>
      <c r="C13" s="379">
        <f>2bm!F13</f>
        <v>14990</v>
      </c>
      <c r="D13" s="379">
        <f>2bm!J13</f>
        <v>16659</v>
      </c>
      <c r="E13" s="379">
        <v>0</v>
      </c>
      <c r="F13" s="370">
        <f t="shared" si="1"/>
        <v>87354</v>
      </c>
      <c r="G13" s="165">
        <f>2bm!AL13</f>
        <v>26</v>
      </c>
    </row>
    <row r="14" spans="1:7" ht="27" customHeight="1">
      <c r="A14" s="152" t="s">
        <v>1423</v>
      </c>
      <c r="B14" s="150">
        <f>2bm!B14</f>
        <v>21659</v>
      </c>
      <c r="C14" s="150">
        <f>2bm!F14</f>
        <v>5890</v>
      </c>
      <c r="D14" s="150">
        <f>2bm!J14</f>
        <v>2471</v>
      </c>
      <c r="E14" s="150">
        <v>0</v>
      </c>
      <c r="F14" s="378">
        <f t="shared" si="1"/>
        <v>30020</v>
      </c>
      <c r="G14" s="151">
        <f>2bm!AL14</f>
        <v>8</v>
      </c>
    </row>
    <row r="15" spans="1:7" ht="27" customHeight="1">
      <c r="A15" s="152" t="s">
        <v>222</v>
      </c>
      <c r="B15" s="150">
        <f>2bm!B15</f>
        <v>17687</v>
      </c>
      <c r="C15" s="150">
        <f>2bm!F15</f>
        <v>4906</v>
      </c>
      <c r="D15" s="150">
        <f>2bm!J15</f>
        <v>1794</v>
      </c>
      <c r="E15" s="150">
        <v>0</v>
      </c>
      <c r="F15" s="378">
        <f t="shared" si="1"/>
        <v>24387</v>
      </c>
      <c r="G15" s="151">
        <f>2bm!AL15</f>
        <v>8</v>
      </c>
    </row>
    <row r="17" spans="1:2" ht="27" customHeight="1">
      <c r="A17" s="153" t="s">
        <v>124</v>
      </c>
      <c r="B17" s="154"/>
    </row>
    <row r="18" spans="1:2" ht="27" customHeight="1">
      <c r="A18" s="153" t="s">
        <v>125</v>
      </c>
      <c r="B18" s="154"/>
    </row>
    <row r="19" spans="1:2" ht="27" customHeight="1">
      <c r="A19" s="153" t="s">
        <v>126</v>
      </c>
      <c r="B19" s="154" t="s">
        <v>127</v>
      </c>
    </row>
    <row r="20" spans="1:2" ht="27" customHeight="1">
      <c r="A20" s="155" t="s">
        <v>131</v>
      </c>
      <c r="B20" s="156" t="s">
        <v>128</v>
      </c>
    </row>
    <row r="21" spans="1:2" ht="27" customHeight="1">
      <c r="A21" s="155" t="s">
        <v>129</v>
      </c>
      <c r="B21" s="30"/>
    </row>
    <row r="23" spans="1:2" ht="27" customHeight="1">
      <c r="A23" s="30" t="s">
        <v>130</v>
      </c>
      <c r="B23" s="30"/>
    </row>
  </sheetData>
  <sheetProtection/>
  <mergeCells count="4">
    <mergeCell ref="A4:G4"/>
    <mergeCell ref="F3:G3"/>
    <mergeCell ref="F5:G5"/>
    <mergeCell ref="A6:A7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3:D17"/>
  <sheetViews>
    <sheetView view="pageBreakPreview" zoomScale="75" zoomScaleSheetLayoutView="75" zoomScalePageLayoutView="0" workbookViewId="0" topLeftCell="A1">
      <selection activeCell="A21" sqref="A21"/>
    </sheetView>
  </sheetViews>
  <sheetFormatPr defaultColWidth="9.140625" defaultRowHeight="27" customHeight="1"/>
  <cols>
    <col min="1" max="1" width="39.57421875" style="149" customWidth="1"/>
    <col min="2" max="2" width="21.00390625" style="149" customWidth="1"/>
    <col min="3" max="3" width="16.00390625" style="149" customWidth="1"/>
    <col min="4" max="4" width="13.140625" style="149" customWidth="1"/>
    <col min="5" max="16384" width="9.140625" style="149" customWidth="1"/>
  </cols>
  <sheetData>
    <row r="3" spans="3:4" ht="27" customHeight="1">
      <c r="C3" s="2559" t="s">
        <v>216</v>
      </c>
      <c r="D3" s="2559"/>
    </row>
    <row r="4" spans="1:4" ht="27" customHeight="1">
      <c r="A4" s="2567" t="s">
        <v>1233</v>
      </c>
      <c r="B4" s="2567"/>
      <c r="C4" s="2567"/>
      <c r="D4" s="2567"/>
    </row>
    <row r="5" spans="1:4" ht="27" customHeight="1">
      <c r="A5" s="2568"/>
      <c r="B5" s="2568"/>
      <c r="C5" s="2568"/>
      <c r="D5" s="2568"/>
    </row>
    <row r="6" spans="1:4" ht="27" customHeight="1">
      <c r="A6" s="374"/>
      <c r="B6" s="374"/>
      <c r="C6" s="374"/>
      <c r="D6" s="375" t="s">
        <v>1756</v>
      </c>
    </row>
    <row r="7" spans="1:4" s="30" customFormat="1" ht="27" customHeight="1">
      <c r="A7" s="2563" t="s">
        <v>1426</v>
      </c>
      <c r="B7" s="2563" t="s">
        <v>1429</v>
      </c>
      <c r="C7" s="2566" t="s">
        <v>116</v>
      </c>
      <c r="D7" s="2566" t="s">
        <v>1431</v>
      </c>
    </row>
    <row r="8" spans="1:4" s="30" customFormat="1" ht="27" customHeight="1">
      <c r="A8" s="2564"/>
      <c r="B8" s="2565"/>
      <c r="C8" s="2565"/>
      <c r="D8" s="2565"/>
    </row>
    <row r="9" spans="1:4" ht="27" customHeight="1">
      <c r="A9" s="158" t="s">
        <v>1482</v>
      </c>
      <c r="B9" s="144">
        <f>B10+B15+B16+B17</f>
        <v>25415</v>
      </c>
      <c r="C9" s="144">
        <f>C10+C15+C16+C17</f>
        <v>3573</v>
      </c>
      <c r="D9" s="144">
        <f>B9+C9</f>
        <v>28988</v>
      </c>
    </row>
    <row r="10" spans="1:4" ht="27" customHeight="1">
      <c r="A10" s="159" t="s">
        <v>1483</v>
      </c>
      <c r="B10" s="144">
        <f>B11+B12+B13+B14</f>
        <v>25158</v>
      </c>
      <c r="C10" s="144">
        <f>C11+C12+C13+C14</f>
        <v>3573</v>
      </c>
      <c r="D10" s="144">
        <f aca="true" t="shared" si="0" ref="D10:D17">B10+C10</f>
        <v>28731</v>
      </c>
    </row>
    <row r="11" spans="1:4" ht="27" customHeight="1">
      <c r="A11" s="160" t="s">
        <v>1484</v>
      </c>
      <c r="B11" s="161">
        <f>1bm!B12</f>
        <v>25108</v>
      </c>
      <c r="C11" s="161">
        <f>1bm!N12</f>
        <v>1797</v>
      </c>
      <c r="D11" s="144">
        <f t="shared" si="0"/>
        <v>26905</v>
      </c>
    </row>
    <row r="12" spans="1:4" ht="27" customHeight="1">
      <c r="A12" s="162" t="s">
        <v>1511</v>
      </c>
      <c r="B12" s="161">
        <f>1bm!B13</f>
        <v>50</v>
      </c>
      <c r="C12" s="161">
        <f>1bm!N13</f>
        <v>1776</v>
      </c>
      <c r="D12" s="144">
        <f t="shared" si="0"/>
        <v>1826</v>
      </c>
    </row>
    <row r="13" spans="1:4" s="104" customFormat="1" ht="27" customHeight="1">
      <c r="A13" s="384" t="s">
        <v>1512</v>
      </c>
      <c r="B13" s="385">
        <v>0</v>
      </c>
      <c r="C13" s="385">
        <v>0</v>
      </c>
      <c r="D13" s="386">
        <f t="shared" si="0"/>
        <v>0</v>
      </c>
    </row>
    <row r="14" spans="1:4" s="104" customFormat="1" ht="27" customHeight="1">
      <c r="A14" s="384" t="s">
        <v>1019</v>
      </c>
      <c r="B14" s="385">
        <v>0</v>
      </c>
      <c r="C14" s="385">
        <v>0</v>
      </c>
      <c r="D14" s="386">
        <f t="shared" si="0"/>
        <v>0</v>
      </c>
    </row>
    <row r="15" spans="1:4" s="30" customFormat="1" ht="27" customHeight="1">
      <c r="A15" s="158" t="s">
        <v>1513</v>
      </c>
      <c r="B15" s="387">
        <v>0</v>
      </c>
      <c r="C15" s="387">
        <v>0</v>
      </c>
      <c r="D15" s="144">
        <f t="shared" si="0"/>
        <v>0</v>
      </c>
    </row>
    <row r="16" spans="1:4" ht="27" customHeight="1">
      <c r="A16" s="162" t="s">
        <v>1424</v>
      </c>
      <c r="B16" s="161">
        <f>1bm!B16</f>
        <v>257</v>
      </c>
      <c r="C16" s="161">
        <v>0</v>
      </c>
      <c r="D16" s="144">
        <f>B16+C16</f>
        <v>257</v>
      </c>
    </row>
    <row r="17" spans="1:4" ht="27" customHeight="1">
      <c r="A17" s="162" t="s">
        <v>221</v>
      </c>
      <c r="B17" s="161">
        <v>0</v>
      </c>
      <c r="C17" s="161">
        <v>0</v>
      </c>
      <c r="D17" s="144">
        <f t="shared" si="0"/>
        <v>0</v>
      </c>
    </row>
  </sheetData>
  <sheetProtection/>
  <mergeCells count="6">
    <mergeCell ref="C3:D3"/>
    <mergeCell ref="A7:A8"/>
    <mergeCell ref="B7:B8"/>
    <mergeCell ref="C7:C8"/>
    <mergeCell ref="D7:D8"/>
    <mergeCell ref="A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47.421875" style="0" customWidth="1"/>
    <col min="2" max="2" width="18.421875" style="0" customWidth="1"/>
    <col min="3" max="3" width="19.8515625" style="0" customWidth="1"/>
  </cols>
  <sheetData>
    <row r="1" spans="1:3" ht="55.5" customHeight="1" thickBot="1">
      <c r="A1" s="2569" t="s">
        <v>1291</v>
      </c>
      <c r="B1" s="2569"/>
      <c r="C1" s="2569"/>
    </row>
    <row r="2" spans="1:3" ht="34.5" customHeight="1">
      <c r="A2" s="829" t="s">
        <v>1432</v>
      </c>
      <c r="B2" s="830" t="s">
        <v>1756</v>
      </c>
      <c r="C2" s="831" t="s">
        <v>1757</v>
      </c>
    </row>
    <row r="3" spans="1:3" ht="34.5" customHeight="1">
      <c r="A3" s="832" t="s">
        <v>98</v>
      </c>
      <c r="B3" s="728">
        <f>2bm!AH12</f>
        <v>42177</v>
      </c>
      <c r="C3" s="833">
        <f>B3/75*1000</f>
        <v>562360</v>
      </c>
    </row>
    <row r="4" spans="1:3" ht="34.5" customHeight="1" thickBot="1">
      <c r="A4" s="834" t="s">
        <v>1759</v>
      </c>
      <c r="B4" s="2001">
        <v>1523</v>
      </c>
      <c r="C4" s="836">
        <f aca="true" t="shared" si="0" ref="C4:C14">B4/75*1000</f>
        <v>20306.666666666668</v>
      </c>
    </row>
    <row r="5" spans="1:3" ht="34.5" customHeight="1" thickBot="1">
      <c r="A5" s="839" t="s">
        <v>1430</v>
      </c>
      <c r="B5" s="2002">
        <f>B3+B4</f>
        <v>43700</v>
      </c>
      <c r="C5" s="841">
        <f t="shared" si="0"/>
        <v>582666.6666666666</v>
      </c>
    </row>
    <row r="6" spans="1:3" ht="34.5" customHeight="1">
      <c r="A6" s="837" t="s">
        <v>1758</v>
      </c>
      <c r="B6" s="2003">
        <v>18391</v>
      </c>
      <c r="C6" s="838">
        <f t="shared" si="0"/>
        <v>245213.33333333334</v>
      </c>
    </row>
    <row r="7" spans="1:3" ht="34.5" customHeight="1">
      <c r="A7" s="832" t="s">
        <v>457</v>
      </c>
      <c r="B7" s="728">
        <v>0</v>
      </c>
      <c r="C7" s="833">
        <f t="shared" si="0"/>
        <v>0</v>
      </c>
    </row>
    <row r="8" spans="1:3" ht="34.5" customHeight="1">
      <c r="A8" s="832" t="s">
        <v>1290</v>
      </c>
      <c r="B8" s="728">
        <v>1776</v>
      </c>
      <c r="C8" s="833">
        <f t="shared" si="0"/>
        <v>23680</v>
      </c>
    </row>
    <row r="9" spans="1:3" ht="34.5" customHeight="1" thickBot="1">
      <c r="A9" s="834" t="s">
        <v>1289</v>
      </c>
      <c r="B9" s="2001">
        <v>1214</v>
      </c>
      <c r="C9" s="836">
        <f t="shared" si="0"/>
        <v>16186.666666666668</v>
      </c>
    </row>
    <row r="10" spans="1:3" ht="34.5" customHeight="1" thickBot="1">
      <c r="A10" s="839" t="s">
        <v>1431</v>
      </c>
      <c r="B10" s="840">
        <f>SUM(B6:B9)</f>
        <v>21381</v>
      </c>
      <c r="C10" s="841">
        <f t="shared" si="0"/>
        <v>285080</v>
      </c>
    </row>
    <row r="11" spans="1:3" ht="50.25" customHeight="1">
      <c r="A11" s="842" t="s">
        <v>195</v>
      </c>
      <c r="B11" s="492">
        <f>B5-B10</f>
        <v>22319</v>
      </c>
      <c r="C11" s="838">
        <f t="shared" si="0"/>
        <v>297586.6666666666</v>
      </c>
    </row>
    <row r="12" spans="1:3" ht="34.5" customHeight="1" thickBot="1">
      <c r="A12" s="834" t="s">
        <v>1977</v>
      </c>
      <c r="B12" s="835">
        <v>1392</v>
      </c>
      <c r="C12" s="836">
        <f t="shared" si="0"/>
        <v>18560</v>
      </c>
    </row>
    <row r="13" spans="1:3" ht="34.5" customHeight="1" thickBot="1">
      <c r="A13" s="846" t="s">
        <v>1760</v>
      </c>
      <c r="B13" s="847">
        <f>B11+B12</f>
        <v>23711</v>
      </c>
      <c r="C13" s="848">
        <f t="shared" si="0"/>
        <v>316146.6666666666</v>
      </c>
    </row>
    <row r="14" spans="1:3" ht="34.5" customHeight="1" thickBot="1">
      <c r="A14" s="843" t="s">
        <v>1761</v>
      </c>
      <c r="B14" s="844">
        <f>B13/12</f>
        <v>1975.9166666666667</v>
      </c>
      <c r="C14" s="845">
        <f t="shared" si="0"/>
        <v>26345.555555555555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1.8515625" style="0" customWidth="1"/>
  </cols>
  <sheetData>
    <row r="1" spans="1:2" ht="12.75">
      <c r="A1" s="2399" t="s">
        <v>458</v>
      </c>
      <c r="B1" s="2399"/>
    </row>
    <row r="2" spans="1:2" ht="13.5" thickBot="1">
      <c r="A2" s="868"/>
      <c r="B2" s="868"/>
    </row>
    <row r="3" spans="1:2" ht="13.5" thickBot="1">
      <c r="A3" s="869" t="s">
        <v>459</v>
      </c>
      <c r="B3" s="870" t="s">
        <v>1889</v>
      </c>
    </row>
    <row r="4" spans="1:2" ht="12.75">
      <c r="A4" s="1441" t="s">
        <v>368</v>
      </c>
      <c r="B4" s="585">
        <v>414</v>
      </c>
    </row>
    <row r="5" spans="1:2" ht="12.75">
      <c r="A5" s="11" t="s">
        <v>370</v>
      </c>
      <c r="B5" s="585">
        <f>SUM(B6:B8)</f>
        <v>1711.3</v>
      </c>
    </row>
    <row r="6" spans="1:6" ht="12.75">
      <c r="A6" s="13" t="s">
        <v>369</v>
      </c>
      <c r="B6" s="6">
        <f>253.5-9.8</f>
        <v>243.7</v>
      </c>
      <c r="F6" s="253"/>
    </row>
    <row r="7" spans="1:6" ht="12.75">
      <c r="A7" s="13" t="s">
        <v>371</v>
      </c>
      <c r="B7" s="6">
        <f>861.9-9.8</f>
        <v>852.1</v>
      </c>
      <c r="F7" s="253"/>
    </row>
    <row r="8" spans="1:6" ht="12.75">
      <c r="A8" s="13" t="s">
        <v>372</v>
      </c>
      <c r="B8" s="6">
        <f>625.3-9.8</f>
        <v>615.5</v>
      </c>
      <c r="F8" s="253"/>
    </row>
    <row r="9" spans="1:6" ht="12.75">
      <c r="A9" s="5" t="s">
        <v>2256</v>
      </c>
      <c r="B9" s="6">
        <v>441</v>
      </c>
      <c r="F9" s="253"/>
    </row>
    <row r="10" spans="1:6" ht="12.75">
      <c r="A10" s="5" t="s">
        <v>1226</v>
      </c>
      <c r="B10" s="6">
        <v>455</v>
      </c>
      <c r="F10" s="253"/>
    </row>
    <row r="11" spans="1:6" ht="12.75">
      <c r="A11" s="5"/>
      <c r="B11" s="6"/>
      <c r="F11" s="253"/>
    </row>
    <row r="12" spans="1:2" ht="12.75">
      <c r="A12" s="5"/>
      <c r="B12" s="6"/>
    </row>
    <row r="13" spans="1:2" ht="12.75">
      <c r="A13" s="5"/>
      <c r="B13" s="6"/>
    </row>
    <row r="14" spans="1:2" ht="12.75">
      <c r="A14" s="5"/>
      <c r="B14" s="6"/>
    </row>
    <row r="15" spans="1:2" ht="12.75">
      <c r="A15" s="5"/>
      <c r="B15" s="6"/>
    </row>
    <row r="16" spans="1:2" ht="12.75">
      <c r="A16" s="5"/>
      <c r="B16" s="6"/>
    </row>
    <row r="17" spans="1:2" ht="12.75">
      <c r="A17" s="5"/>
      <c r="B17" s="6"/>
    </row>
    <row r="18" spans="1:2" ht="12.75">
      <c r="A18" s="5"/>
      <c r="B18" s="6"/>
    </row>
    <row r="19" spans="1:2" ht="13.5" thickBot="1">
      <c r="A19" s="199"/>
      <c r="B19" s="390"/>
    </row>
    <row r="20" spans="1:2" ht="13.5" thickBot="1">
      <c r="A20" s="688" t="s">
        <v>1433</v>
      </c>
      <c r="B20" s="871">
        <f>B4+B5+B9+B10</f>
        <v>3021.3</v>
      </c>
    </row>
    <row r="22" spans="1:2" ht="12.75">
      <c r="A22" t="s">
        <v>313</v>
      </c>
      <c r="B22" s="9">
        <f>B24+B25</f>
        <v>28720</v>
      </c>
    </row>
    <row r="24" spans="1:2" ht="12.75">
      <c r="A24" s="5" t="s">
        <v>314</v>
      </c>
      <c r="B24" s="5">
        <v>496</v>
      </c>
    </row>
    <row r="25" spans="1:2" ht="12.75">
      <c r="A25" s="5" t="s">
        <v>315</v>
      </c>
      <c r="B25" s="5">
        <v>28224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A19">
      <selection activeCell="B37" sqref="B37"/>
    </sheetView>
  </sheetViews>
  <sheetFormatPr defaultColWidth="9.140625" defaultRowHeight="12.75"/>
  <cols>
    <col min="1" max="1" width="3.421875" style="0" customWidth="1"/>
    <col min="2" max="2" width="28.00390625" style="0" customWidth="1"/>
    <col min="3" max="3" width="15.00390625" style="0" bestFit="1" customWidth="1"/>
    <col min="4" max="4" width="10.00390625" style="0" bestFit="1" customWidth="1"/>
    <col min="5" max="5" width="9.421875" style="0" bestFit="1" customWidth="1"/>
    <col min="6" max="6" width="9.00390625" style="0" bestFit="1" customWidth="1"/>
    <col min="7" max="7" width="9.7109375" style="0" bestFit="1" customWidth="1"/>
    <col min="8" max="8" width="10.7109375" style="0" bestFit="1" customWidth="1"/>
    <col min="10" max="10" width="9.57421875" style="0" bestFit="1" customWidth="1"/>
    <col min="11" max="11" width="9.00390625" style="0" bestFit="1" customWidth="1"/>
    <col min="12" max="12" width="8.421875" style="0" bestFit="1" customWidth="1"/>
    <col min="13" max="13" width="9.28125" style="0" customWidth="1"/>
    <col min="14" max="14" width="10.8515625" style="0" bestFit="1" customWidth="1"/>
    <col min="15" max="15" width="8.8515625" style="0" bestFit="1" customWidth="1"/>
    <col min="16" max="16" width="9.421875" style="0" bestFit="1" customWidth="1"/>
    <col min="17" max="17" width="13.7109375" style="0" bestFit="1" customWidth="1"/>
    <col min="18" max="18" width="11.140625" style="0" customWidth="1"/>
    <col min="19" max="19" width="11.421875" style="0" bestFit="1" customWidth="1"/>
    <col min="20" max="20" width="10.28125" style="0" bestFit="1" customWidth="1"/>
    <col min="21" max="21" width="19.8515625" style="0" customWidth="1"/>
    <col min="22" max="22" width="6.57421875" style="0" bestFit="1" customWidth="1"/>
    <col min="23" max="23" width="12.00390625" style="0" customWidth="1"/>
    <col min="24" max="24" width="13.140625" style="0" bestFit="1" customWidth="1"/>
    <col min="25" max="25" width="11.140625" style="0" bestFit="1" customWidth="1"/>
    <col min="26" max="26" width="10.140625" style="0" customWidth="1"/>
    <col min="27" max="27" width="47.140625" style="0" bestFit="1" customWidth="1"/>
  </cols>
  <sheetData>
    <row r="1" spans="1:28" ht="15">
      <c r="A1" s="959" t="s">
        <v>1776</v>
      </c>
      <c r="B1" s="635" t="s">
        <v>619</v>
      </c>
      <c r="C1" s="695"/>
      <c r="D1" s="696" t="s">
        <v>91</v>
      </c>
      <c r="E1" s="611" t="s">
        <v>1485</v>
      </c>
      <c r="F1" s="697" t="s">
        <v>1486</v>
      </c>
      <c r="G1" s="697" t="s">
        <v>1487</v>
      </c>
      <c r="H1" s="697" t="s">
        <v>1488</v>
      </c>
      <c r="I1" s="697" t="s">
        <v>1489</v>
      </c>
      <c r="J1" s="697" t="s">
        <v>1490</v>
      </c>
      <c r="K1" s="697" t="s">
        <v>1491</v>
      </c>
      <c r="L1" s="697" t="s">
        <v>1492</v>
      </c>
      <c r="M1" s="697" t="s">
        <v>1493</v>
      </c>
      <c r="N1" s="697" t="s">
        <v>1494</v>
      </c>
      <c r="O1" s="697" t="s">
        <v>1495</v>
      </c>
      <c r="P1" s="697" t="s">
        <v>1496</v>
      </c>
      <c r="Q1" s="611" t="s">
        <v>1275</v>
      </c>
      <c r="R1" s="697" t="s">
        <v>25</v>
      </c>
      <c r="S1" s="697" t="s">
        <v>1403</v>
      </c>
      <c r="T1" s="697" t="s">
        <v>1281</v>
      </c>
      <c r="U1" s="697" t="s">
        <v>26</v>
      </c>
      <c r="V1" s="697" t="s">
        <v>652</v>
      </c>
      <c r="W1" s="697" t="s">
        <v>1975</v>
      </c>
      <c r="X1" s="697" t="s">
        <v>1277</v>
      </c>
      <c r="Y1" s="795"/>
      <c r="Z1" s="647" t="s">
        <v>322</v>
      </c>
      <c r="AA1" s="647" t="s">
        <v>651</v>
      </c>
      <c r="AB1" s="302"/>
    </row>
    <row r="2" spans="1:28" ht="15">
      <c r="A2" s="959" t="s">
        <v>587</v>
      </c>
      <c r="B2" s="304" t="s">
        <v>199</v>
      </c>
      <c r="C2" s="469" t="s">
        <v>612</v>
      </c>
      <c r="D2" s="963">
        <v>1430300</v>
      </c>
      <c r="E2" s="605">
        <v>94000</v>
      </c>
      <c r="F2" s="605">
        <v>108000</v>
      </c>
      <c r="G2" s="605">
        <v>108000</v>
      </c>
      <c r="H2" s="605">
        <v>108000</v>
      </c>
      <c r="I2" s="605">
        <v>108000</v>
      </c>
      <c r="J2" s="605">
        <v>108000</v>
      </c>
      <c r="K2" s="605">
        <v>108000</v>
      </c>
      <c r="L2" s="605">
        <v>108000</v>
      </c>
      <c r="M2" s="605">
        <v>108000</v>
      </c>
      <c r="N2" s="605">
        <v>108000</v>
      </c>
      <c r="O2" s="605">
        <v>108000</v>
      </c>
      <c r="P2" s="605">
        <v>108000</v>
      </c>
      <c r="Q2" s="612">
        <f aca="true" t="shared" si="0" ref="Q2:Q29">SUBTOTAL(9,E2:P2)</f>
        <v>1282000</v>
      </c>
      <c r="R2" s="605"/>
      <c r="S2" s="605"/>
      <c r="T2" s="605"/>
      <c r="U2" s="605"/>
      <c r="V2" s="605"/>
      <c r="W2" s="605"/>
      <c r="X2" s="783"/>
      <c r="Y2" s="797">
        <f aca="true" t="shared" si="1" ref="Y2:Y43">+Q2+R2+S2+T2+U2+V2+W2+X2</f>
        <v>1282000</v>
      </c>
      <c r="Z2" s="596">
        <v>150000</v>
      </c>
      <c r="AA2" s="950" t="s">
        <v>1976</v>
      </c>
      <c r="AB2" s="302"/>
    </row>
    <row r="3" spans="1:28" ht="15">
      <c r="A3" s="959" t="s">
        <v>588</v>
      </c>
      <c r="B3" s="304" t="s">
        <v>147</v>
      </c>
      <c r="C3" s="469" t="s">
        <v>1285</v>
      </c>
      <c r="D3" s="963">
        <v>1430500</v>
      </c>
      <c r="E3" s="605">
        <v>96600</v>
      </c>
      <c r="F3" s="605">
        <v>108000</v>
      </c>
      <c r="G3" s="605">
        <v>108000</v>
      </c>
      <c r="H3" s="605">
        <v>108000</v>
      </c>
      <c r="I3" s="605">
        <v>108000</v>
      </c>
      <c r="J3" s="605">
        <v>108000</v>
      </c>
      <c r="K3" s="605">
        <v>108000</v>
      </c>
      <c r="L3" s="605">
        <v>108000</v>
      </c>
      <c r="M3" s="605">
        <v>108000</v>
      </c>
      <c r="N3" s="605">
        <v>108000</v>
      </c>
      <c r="O3" s="605">
        <v>108000</v>
      </c>
      <c r="P3" s="605">
        <v>108000</v>
      </c>
      <c r="Q3" s="612">
        <f t="shared" si="0"/>
        <v>1284600</v>
      </c>
      <c r="R3" s="605"/>
      <c r="S3" s="605"/>
      <c r="T3" s="605"/>
      <c r="U3" s="605"/>
      <c r="V3" s="605"/>
      <c r="W3" s="605"/>
      <c r="X3" s="783"/>
      <c r="Y3" s="797">
        <f t="shared" si="1"/>
        <v>1284600</v>
      </c>
      <c r="Z3" s="596">
        <v>150000</v>
      </c>
      <c r="AA3" s="600"/>
      <c r="AB3" s="983"/>
    </row>
    <row r="4" spans="1:28" ht="15">
      <c r="A4" s="959" t="s">
        <v>589</v>
      </c>
      <c r="B4" s="304" t="s">
        <v>1509</v>
      </c>
      <c r="C4" s="469" t="s">
        <v>614</v>
      </c>
      <c r="D4" s="966">
        <v>1400700</v>
      </c>
      <c r="E4" s="605">
        <v>270600</v>
      </c>
      <c r="F4" s="605">
        <v>270600</v>
      </c>
      <c r="G4" s="605">
        <v>270600</v>
      </c>
      <c r="H4" s="605">
        <v>270600</v>
      </c>
      <c r="I4" s="605">
        <v>270600</v>
      </c>
      <c r="J4" s="605">
        <v>270600</v>
      </c>
      <c r="K4" s="605">
        <v>270600</v>
      </c>
      <c r="L4" s="605">
        <v>270600</v>
      </c>
      <c r="M4" s="605">
        <v>270600</v>
      </c>
      <c r="N4" s="605">
        <v>270600</v>
      </c>
      <c r="O4" s="605">
        <v>270600</v>
      </c>
      <c r="P4" s="605">
        <v>270600</v>
      </c>
      <c r="Q4" s="612">
        <f t="shared" si="0"/>
        <v>3247200</v>
      </c>
      <c r="R4" s="605"/>
      <c r="S4" s="605">
        <f>23190*2*12</f>
        <v>556560</v>
      </c>
      <c r="T4" s="605"/>
      <c r="U4" s="605"/>
      <c r="V4" s="605"/>
      <c r="W4" s="605"/>
      <c r="X4" s="783"/>
      <c r="Y4" s="797">
        <f t="shared" si="1"/>
        <v>3803760</v>
      </c>
      <c r="Z4" s="596">
        <v>150000</v>
      </c>
      <c r="AA4" s="950"/>
      <c r="AB4" s="983"/>
    </row>
    <row r="5" spans="1:28" ht="15">
      <c r="A5" s="959" t="s">
        <v>1459</v>
      </c>
      <c r="B5" s="304" t="s">
        <v>1406</v>
      </c>
      <c r="C5" s="469" t="s">
        <v>609</v>
      </c>
      <c r="D5" s="963">
        <v>1411500</v>
      </c>
      <c r="E5" s="605">
        <v>220300</v>
      </c>
      <c r="F5" s="605">
        <v>220300</v>
      </c>
      <c r="G5" s="605">
        <v>220300</v>
      </c>
      <c r="H5" s="605">
        <v>220300</v>
      </c>
      <c r="I5" s="605">
        <v>220300</v>
      </c>
      <c r="J5" s="605">
        <v>220300</v>
      </c>
      <c r="K5" s="605">
        <v>220300</v>
      </c>
      <c r="L5" s="605">
        <v>224200</v>
      </c>
      <c r="M5" s="605">
        <v>224200</v>
      </c>
      <c r="N5" s="605">
        <v>224200</v>
      </c>
      <c r="O5" s="605">
        <v>224200</v>
      </c>
      <c r="P5" s="605">
        <v>224200</v>
      </c>
      <c r="Q5" s="612">
        <f t="shared" si="0"/>
        <v>2663100</v>
      </c>
      <c r="R5" s="605"/>
      <c r="S5" s="605"/>
      <c r="T5" s="605"/>
      <c r="U5" s="605"/>
      <c r="V5" s="605"/>
      <c r="W5" s="605"/>
      <c r="X5" s="783"/>
      <c r="Y5" s="797">
        <f t="shared" si="1"/>
        <v>2663100</v>
      </c>
      <c r="Z5" s="596">
        <v>150000</v>
      </c>
      <c r="AA5" s="950" t="s">
        <v>1500</v>
      </c>
      <c r="AB5" s="983"/>
    </row>
    <row r="6" spans="1:28" ht="15">
      <c r="A6" s="959" t="s">
        <v>1443</v>
      </c>
      <c r="B6" s="304" t="s">
        <v>611</v>
      </c>
      <c r="C6" s="469" t="s">
        <v>1285</v>
      </c>
      <c r="D6" s="963">
        <v>1430200</v>
      </c>
      <c r="E6" s="605">
        <v>94000</v>
      </c>
      <c r="F6" s="605">
        <v>108000</v>
      </c>
      <c r="G6" s="605">
        <v>108000</v>
      </c>
      <c r="H6" s="605">
        <v>108000</v>
      </c>
      <c r="I6" s="605">
        <v>108000</v>
      </c>
      <c r="J6" s="605">
        <v>108000</v>
      </c>
      <c r="K6" s="605">
        <v>108000</v>
      </c>
      <c r="L6" s="605">
        <v>108000</v>
      </c>
      <c r="M6" s="605">
        <v>108000</v>
      </c>
      <c r="N6" s="605">
        <v>108000</v>
      </c>
      <c r="O6" s="605">
        <v>108000</v>
      </c>
      <c r="P6" s="605">
        <v>108000</v>
      </c>
      <c r="Q6" s="612">
        <f t="shared" si="0"/>
        <v>1282000</v>
      </c>
      <c r="R6" s="605"/>
      <c r="S6" s="605"/>
      <c r="T6" s="605"/>
      <c r="U6" s="605"/>
      <c r="V6" s="605"/>
      <c r="W6" s="605"/>
      <c r="X6" s="783"/>
      <c r="Y6" s="797">
        <f t="shared" si="1"/>
        <v>1282000</v>
      </c>
      <c r="Z6" s="596">
        <v>150000</v>
      </c>
      <c r="AA6" s="596"/>
      <c r="AB6" s="302"/>
    </row>
    <row r="7" spans="1:28" ht="15">
      <c r="A7" s="959" t="s">
        <v>1444</v>
      </c>
      <c r="B7" s="988" t="s">
        <v>201</v>
      </c>
      <c r="C7" s="473" t="s">
        <v>616</v>
      </c>
      <c r="D7" s="964" t="s">
        <v>16</v>
      </c>
      <c r="E7" s="609">
        <v>483200</v>
      </c>
      <c r="F7" s="609">
        <v>483200</v>
      </c>
      <c r="G7" s="609">
        <v>483200</v>
      </c>
      <c r="H7" s="609">
        <v>483200</v>
      </c>
      <c r="I7" s="609">
        <v>483200</v>
      </c>
      <c r="J7" s="609">
        <v>483200</v>
      </c>
      <c r="K7" s="609">
        <v>483200</v>
      </c>
      <c r="L7" s="609">
        <v>483200</v>
      </c>
      <c r="M7" s="609">
        <v>483200</v>
      </c>
      <c r="N7" s="609">
        <v>483200</v>
      </c>
      <c r="O7" s="609">
        <v>483200</v>
      </c>
      <c r="P7" s="609">
        <v>483200</v>
      </c>
      <c r="Q7" s="612">
        <f t="shared" si="0"/>
        <v>5798400</v>
      </c>
      <c r="R7" s="609"/>
      <c r="S7" s="610"/>
      <c r="T7" s="609"/>
      <c r="U7" s="609"/>
      <c r="V7" s="609"/>
      <c r="W7" s="609"/>
      <c r="X7" s="788"/>
      <c r="Y7" s="797">
        <f t="shared" si="1"/>
        <v>5798400</v>
      </c>
      <c r="Z7" s="596">
        <v>150000</v>
      </c>
      <c r="AA7" s="596"/>
      <c r="AB7" s="302"/>
    </row>
    <row r="8" spans="1:28" ht="15">
      <c r="A8" s="959" t="s">
        <v>1445</v>
      </c>
      <c r="B8" s="303" t="s">
        <v>150</v>
      </c>
      <c r="C8" s="469" t="s">
        <v>610</v>
      </c>
      <c r="D8" s="963">
        <v>1421300</v>
      </c>
      <c r="E8" s="605">
        <v>112100</v>
      </c>
      <c r="F8" s="605">
        <v>112100</v>
      </c>
      <c r="G8" s="605">
        <v>112100</v>
      </c>
      <c r="H8" s="605">
        <v>112100</v>
      </c>
      <c r="I8" s="605">
        <v>112100</v>
      </c>
      <c r="J8" s="605">
        <v>112100</v>
      </c>
      <c r="K8" s="605">
        <v>112100</v>
      </c>
      <c r="L8" s="605">
        <v>112100</v>
      </c>
      <c r="M8" s="605">
        <v>112100</v>
      </c>
      <c r="N8" s="605">
        <v>112100</v>
      </c>
      <c r="O8" s="605">
        <v>112100</v>
      </c>
      <c r="P8" s="605">
        <v>127500</v>
      </c>
      <c r="Q8" s="612">
        <f t="shared" si="0"/>
        <v>1360600</v>
      </c>
      <c r="R8" s="605"/>
      <c r="S8" s="605"/>
      <c r="T8" s="605"/>
      <c r="U8" s="605"/>
      <c r="V8" s="605"/>
      <c r="W8" s="605">
        <f>N8*3</f>
        <v>336300</v>
      </c>
      <c r="X8" s="783"/>
      <c r="Y8" s="797">
        <f t="shared" si="1"/>
        <v>1696900</v>
      </c>
      <c r="Z8" s="596">
        <v>150000</v>
      </c>
      <c r="AA8" s="600" t="s">
        <v>665</v>
      </c>
      <c r="AB8" s="302"/>
    </row>
    <row r="9" spans="1:28" ht="15">
      <c r="A9" s="959" t="s">
        <v>1446</v>
      </c>
      <c r="B9" s="303" t="s">
        <v>1501</v>
      </c>
      <c r="C9" s="469" t="s">
        <v>614</v>
      </c>
      <c r="D9" s="966">
        <v>1410200</v>
      </c>
      <c r="E9" s="605">
        <v>123700</v>
      </c>
      <c r="F9" s="605">
        <v>123700</v>
      </c>
      <c r="G9" s="605">
        <v>123700</v>
      </c>
      <c r="H9" s="605">
        <v>125600</v>
      </c>
      <c r="I9" s="605">
        <v>127500</v>
      </c>
      <c r="J9" s="605">
        <v>127500</v>
      </c>
      <c r="K9" s="605">
        <v>127500</v>
      </c>
      <c r="L9" s="605">
        <v>127500</v>
      </c>
      <c r="M9" s="605">
        <v>127500</v>
      </c>
      <c r="N9" s="605">
        <v>127500</v>
      </c>
      <c r="O9" s="605">
        <v>127500</v>
      </c>
      <c r="P9" s="605">
        <v>127500</v>
      </c>
      <c r="Q9" s="612">
        <f t="shared" si="0"/>
        <v>1516700</v>
      </c>
      <c r="R9" s="605"/>
      <c r="S9" s="605">
        <f>38650*0.6*12</f>
        <v>278280</v>
      </c>
      <c r="T9" s="605"/>
      <c r="U9" s="605"/>
      <c r="V9" s="605"/>
      <c r="W9" s="605"/>
      <c r="X9" s="783"/>
      <c r="Y9" s="797">
        <f t="shared" si="1"/>
        <v>1794980</v>
      </c>
      <c r="Z9" s="596">
        <v>150000</v>
      </c>
      <c r="AA9" s="600" t="s">
        <v>1502</v>
      </c>
      <c r="AB9" s="302"/>
    </row>
    <row r="10" spans="1:28" ht="15">
      <c r="A10" s="959" t="s">
        <v>1447</v>
      </c>
      <c r="B10" s="304" t="s">
        <v>1458</v>
      </c>
      <c r="C10" s="469" t="s">
        <v>614</v>
      </c>
      <c r="D10" s="966">
        <v>1421500</v>
      </c>
      <c r="E10" s="605">
        <v>154600</v>
      </c>
      <c r="F10" s="605">
        <v>154600</v>
      </c>
      <c r="G10" s="605">
        <v>154600</v>
      </c>
      <c r="H10" s="605">
        <v>154600</v>
      </c>
      <c r="I10" s="605">
        <v>154600</v>
      </c>
      <c r="J10" s="605">
        <v>154600</v>
      </c>
      <c r="K10" s="605">
        <v>154600</v>
      </c>
      <c r="L10" s="605">
        <v>154600</v>
      </c>
      <c r="M10" s="605">
        <v>154600</v>
      </c>
      <c r="N10" s="605">
        <v>154600</v>
      </c>
      <c r="O10" s="605">
        <v>154600</v>
      </c>
      <c r="P10" s="605">
        <v>154600</v>
      </c>
      <c r="Q10" s="612">
        <f t="shared" si="0"/>
        <v>1855200</v>
      </c>
      <c r="R10" s="605"/>
      <c r="S10" s="605"/>
      <c r="T10" s="605"/>
      <c r="U10" s="605"/>
      <c r="V10" s="605"/>
      <c r="W10" s="605"/>
      <c r="X10" s="783"/>
      <c r="Y10" s="797">
        <f t="shared" si="1"/>
        <v>1855200</v>
      </c>
      <c r="Z10" s="596">
        <v>150000</v>
      </c>
      <c r="AA10" s="636"/>
      <c r="AB10" s="302"/>
    </row>
    <row r="11" spans="1:28" ht="15">
      <c r="A11" s="959" t="s">
        <v>1448</v>
      </c>
      <c r="B11" s="304" t="s">
        <v>1504</v>
      </c>
      <c r="C11" s="469" t="s">
        <v>612</v>
      </c>
      <c r="D11" s="968">
        <v>1410600</v>
      </c>
      <c r="E11" s="608">
        <v>150700</v>
      </c>
      <c r="F11" s="608">
        <v>150700</v>
      </c>
      <c r="G11" s="608">
        <v>150700</v>
      </c>
      <c r="H11" s="608">
        <v>150700</v>
      </c>
      <c r="I11" s="608">
        <v>150700</v>
      </c>
      <c r="J11" s="608">
        <v>150700</v>
      </c>
      <c r="K11" s="608">
        <v>150700</v>
      </c>
      <c r="L11" s="608">
        <v>150700</v>
      </c>
      <c r="M11" s="608">
        <v>150700</v>
      </c>
      <c r="N11" s="608">
        <v>150700</v>
      </c>
      <c r="O11" s="608">
        <v>150700</v>
      </c>
      <c r="P11" s="608">
        <v>150700</v>
      </c>
      <c r="Q11" s="613">
        <f t="shared" si="0"/>
        <v>1808400</v>
      </c>
      <c r="R11" s="608"/>
      <c r="S11" s="608">
        <f>38650*12</f>
        <v>463800</v>
      </c>
      <c r="T11" s="608"/>
      <c r="U11" s="608"/>
      <c r="V11" s="608"/>
      <c r="W11" s="608"/>
      <c r="X11" s="789"/>
      <c r="Y11" s="797">
        <f t="shared" si="1"/>
        <v>2272200</v>
      </c>
      <c r="Z11" s="596">
        <v>150000</v>
      </c>
      <c r="AA11" s="950"/>
      <c r="AB11" s="302"/>
    </row>
    <row r="12" spans="1:28" ht="15">
      <c r="A12" s="959" t="s">
        <v>1460</v>
      </c>
      <c r="B12" s="304" t="s">
        <v>152</v>
      </c>
      <c r="C12" s="469" t="s">
        <v>614</v>
      </c>
      <c r="D12" s="966">
        <v>1421000</v>
      </c>
      <c r="E12" s="605">
        <v>104400</v>
      </c>
      <c r="F12" s="605">
        <v>108000</v>
      </c>
      <c r="G12" s="605">
        <v>108000</v>
      </c>
      <c r="H12" s="605">
        <v>108000</v>
      </c>
      <c r="I12" s="605">
        <v>108000</v>
      </c>
      <c r="J12" s="605">
        <v>108000</v>
      </c>
      <c r="K12" s="605">
        <v>108000</v>
      </c>
      <c r="L12" s="605">
        <v>108000</v>
      </c>
      <c r="M12" s="605">
        <v>108000</v>
      </c>
      <c r="N12" s="605">
        <v>108000</v>
      </c>
      <c r="O12" s="605">
        <v>108000</v>
      </c>
      <c r="P12" s="605">
        <v>108000</v>
      </c>
      <c r="Q12" s="612">
        <f t="shared" si="0"/>
        <v>1292400</v>
      </c>
      <c r="R12" s="605"/>
      <c r="S12" s="605"/>
      <c r="T12" s="605"/>
      <c r="U12" s="605"/>
      <c r="V12" s="605"/>
      <c r="W12" s="605"/>
      <c r="X12" s="783"/>
      <c r="Y12" s="797">
        <f t="shared" si="1"/>
        <v>1292400</v>
      </c>
      <c r="Z12" s="596">
        <v>150000</v>
      </c>
      <c r="AA12" s="600"/>
      <c r="AB12" s="302"/>
    </row>
    <row r="13" spans="1:28" ht="15">
      <c r="A13" s="959" t="s">
        <v>1461</v>
      </c>
      <c r="B13" s="304" t="s">
        <v>153</v>
      </c>
      <c r="C13" s="469" t="s">
        <v>608</v>
      </c>
      <c r="D13" s="966">
        <v>1421400</v>
      </c>
      <c r="E13" s="605">
        <v>127500</v>
      </c>
      <c r="F13" s="605">
        <v>127500</v>
      </c>
      <c r="G13" s="605">
        <v>127500</v>
      </c>
      <c r="H13" s="605">
        <v>127500</v>
      </c>
      <c r="I13" s="605">
        <v>127500</v>
      </c>
      <c r="J13" s="605">
        <v>127500</v>
      </c>
      <c r="K13" s="605">
        <v>127500</v>
      </c>
      <c r="L13" s="605">
        <v>127500</v>
      </c>
      <c r="M13" s="605">
        <v>127500</v>
      </c>
      <c r="N13" s="605">
        <v>127500</v>
      </c>
      <c r="O13" s="605">
        <v>127500</v>
      </c>
      <c r="P13" s="605">
        <v>127500</v>
      </c>
      <c r="Q13" s="612">
        <f t="shared" si="0"/>
        <v>1530000</v>
      </c>
      <c r="R13" s="605"/>
      <c r="S13" s="605"/>
      <c r="T13" s="605"/>
      <c r="U13" s="605"/>
      <c r="V13" s="605"/>
      <c r="W13" s="605"/>
      <c r="X13" s="783"/>
      <c r="Y13" s="797">
        <f t="shared" si="1"/>
        <v>1530000</v>
      </c>
      <c r="Z13" s="596">
        <v>150000</v>
      </c>
      <c r="AA13" s="600"/>
      <c r="AB13" s="302"/>
    </row>
    <row r="14" spans="1:28" ht="15">
      <c r="A14" s="959" t="s">
        <v>1462</v>
      </c>
      <c r="B14" s="304" t="s">
        <v>1808</v>
      </c>
      <c r="C14" s="469" t="s">
        <v>612</v>
      </c>
      <c r="D14" s="966">
        <v>1410700</v>
      </c>
      <c r="E14" s="605">
        <v>162300</v>
      </c>
      <c r="F14" s="605">
        <v>162300</v>
      </c>
      <c r="G14" s="605">
        <v>162300</v>
      </c>
      <c r="H14" s="605">
        <v>162300</v>
      </c>
      <c r="I14" s="605">
        <v>162300</v>
      </c>
      <c r="J14" s="605">
        <v>162300</v>
      </c>
      <c r="K14" s="605">
        <v>162300</v>
      </c>
      <c r="L14" s="605">
        <v>162300</v>
      </c>
      <c r="M14" s="605">
        <v>162300</v>
      </c>
      <c r="N14" s="605">
        <v>162300</v>
      </c>
      <c r="O14" s="605">
        <v>162300</v>
      </c>
      <c r="P14" s="605">
        <v>170100</v>
      </c>
      <c r="Q14" s="612">
        <f t="shared" si="0"/>
        <v>1955400</v>
      </c>
      <c r="R14" s="605"/>
      <c r="S14" s="605">
        <f>38650*0.6*12</f>
        <v>278280</v>
      </c>
      <c r="T14" s="605"/>
      <c r="U14" s="605"/>
      <c r="V14" s="605"/>
      <c r="W14" s="605"/>
      <c r="X14" s="783"/>
      <c r="Y14" s="797">
        <f t="shared" si="1"/>
        <v>2233680</v>
      </c>
      <c r="Z14" s="596">
        <v>150000</v>
      </c>
      <c r="AA14" s="952" t="s">
        <v>1505</v>
      </c>
      <c r="AB14" s="302"/>
    </row>
    <row r="15" spans="1:28" ht="15">
      <c r="A15" s="959" t="s">
        <v>1463</v>
      </c>
      <c r="B15" s="1002" t="s">
        <v>1162</v>
      </c>
      <c r="C15" s="469" t="s">
        <v>1285</v>
      </c>
      <c r="D15" s="966">
        <v>1421000</v>
      </c>
      <c r="E15" s="605">
        <v>104400</v>
      </c>
      <c r="F15" s="605">
        <f>108000+147200</f>
        <v>255200</v>
      </c>
      <c r="G15" s="605">
        <v>110200</v>
      </c>
      <c r="H15" s="605">
        <v>110200</v>
      </c>
      <c r="I15" s="605">
        <v>110200</v>
      </c>
      <c r="J15" s="605">
        <v>110200</v>
      </c>
      <c r="K15" s="605">
        <v>110200</v>
      </c>
      <c r="L15" s="605">
        <v>110200</v>
      </c>
      <c r="M15" s="605">
        <v>110200</v>
      </c>
      <c r="N15" s="605">
        <v>110200</v>
      </c>
      <c r="O15" s="605">
        <v>110200</v>
      </c>
      <c r="P15" s="605">
        <v>110200</v>
      </c>
      <c r="Q15" s="612">
        <f t="shared" si="0"/>
        <v>1461600</v>
      </c>
      <c r="R15" s="605"/>
      <c r="S15" s="605"/>
      <c r="T15" s="605"/>
      <c r="U15" s="605"/>
      <c r="V15" s="605"/>
      <c r="W15" s="605"/>
      <c r="X15" s="783"/>
      <c r="Y15" s="797">
        <f t="shared" si="1"/>
        <v>1461600</v>
      </c>
      <c r="Z15" s="596">
        <v>150000</v>
      </c>
      <c r="AA15" s="596"/>
      <c r="AB15" s="302"/>
    </row>
    <row r="16" spans="1:28" ht="15">
      <c r="A16" s="959" t="s">
        <v>1464</v>
      </c>
      <c r="B16" s="303" t="s">
        <v>154</v>
      </c>
      <c r="C16" s="469" t="s">
        <v>608</v>
      </c>
      <c r="D16" s="966">
        <v>1411700</v>
      </c>
      <c r="E16" s="605">
        <v>231900</v>
      </c>
      <c r="F16" s="605">
        <v>231900</v>
      </c>
      <c r="G16" s="605">
        <v>231900</v>
      </c>
      <c r="H16" s="605">
        <v>231900</v>
      </c>
      <c r="I16" s="605">
        <v>231900</v>
      </c>
      <c r="J16" s="605">
        <v>231900</v>
      </c>
      <c r="K16" s="605">
        <v>231900</v>
      </c>
      <c r="L16" s="605">
        <v>231900</v>
      </c>
      <c r="M16" s="605">
        <v>231900</v>
      </c>
      <c r="N16" s="605">
        <v>231900</v>
      </c>
      <c r="O16" s="605">
        <v>231900</v>
      </c>
      <c r="P16" s="605">
        <v>231900</v>
      </c>
      <c r="Q16" s="612">
        <f t="shared" si="0"/>
        <v>2782800</v>
      </c>
      <c r="R16" s="605"/>
      <c r="S16" s="605"/>
      <c r="T16" s="605"/>
      <c r="U16" s="605"/>
      <c r="V16" s="605"/>
      <c r="W16" s="605">
        <f>L16*5</f>
        <v>1159500</v>
      </c>
      <c r="X16" s="783"/>
      <c r="Y16" s="797">
        <f t="shared" si="1"/>
        <v>3942300</v>
      </c>
      <c r="Z16" s="596">
        <v>150000</v>
      </c>
      <c r="AA16" s="636" t="s">
        <v>1772</v>
      </c>
      <c r="AB16" s="983"/>
    </row>
    <row r="17" spans="1:28" ht="15">
      <c r="A17" s="959" t="s">
        <v>1465</v>
      </c>
      <c r="B17" s="953" t="s">
        <v>1480</v>
      </c>
      <c r="C17" s="473" t="s">
        <v>615</v>
      </c>
      <c r="D17" s="965">
        <v>1400400</v>
      </c>
      <c r="E17" s="610">
        <v>318900</v>
      </c>
      <c r="F17" s="610">
        <v>318900</v>
      </c>
      <c r="G17" s="610">
        <v>318900</v>
      </c>
      <c r="H17" s="610">
        <v>318900</v>
      </c>
      <c r="I17" s="610">
        <v>318900</v>
      </c>
      <c r="J17" s="610">
        <v>318900</v>
      </c>
      <c r="K17" s="610">
        <v>318900</v>
      </c>
      <c r="L17" s="610">
        <v>318900</v>
      </c>
      <c r="M17" s="610">
        <v>318900</v>
      </c>
      <c r="N17" s="610">
        <v>318900</v>
      </c>
      <c r="O17" s="610">
        <v>318900</v>
      </c>
      <c r="P17" s="610">
        <v>318900</v>
      </c>
      <c r="Q17" s="612">
        <f t="shared" si="0"/>
        <v>3826800</v>
      </c>
      <c r="R17" s="609">
        <f>Q17*0.2</f>
        <v>765360</v>
      </c>
      <c r="S17" s="610"/>
      <c r="T17" s="609"/>
      <c r="U17" s="609">
        <f>Q17*0.4</f>
        <v>1530720</v>
      </c>
      <c r="V17" s="609"/>
      <c r="W17" s="609">
        <f>H17*5</f>
        <v>1594500</v>
      </c>
      <c r="X17" s="788"/>
      <c r="Y17" s="797">
        <f t="shared" si="1"/>
        <v>7717380</v>
      </c>
      <c r="Z17" s="596">
        <v>150000</v>
      </c>
      <c r="AA17" s="950" t="s">
        <v>1773</v>
      </c>
      <c r="AB17" s="983"/>
    </row>
    <row r="18" spans="1:28" ht="15">
      <c r="A18" s="959" t="s">
        <v>1466</v>
      </c>
      <c r="B18" s="304" t="s">
        <v>155</v>
      </c>
      <c r="C18" s="469" t="s">
        <v>609</v>
      </c>
      <c r="D18" s="966">
        <v>1421700</v>
      </c>
      <c r="E18" s="605">
        <v>170100</v>
      </c>
      <c r="F18" s="605">
        <v>170100</v>
      </c>
      <c r="G18" s="605">
        <v>170100</v>
      </c>
      <c r="H18" s="605">
        <v>170100</v>
      </c>
      <c r="I18" s="605">
        <v>170100</v>
      </c>
      <c r="J18" s="605">
        <v>170100</v>
      </c>
      <c r="K18" s="605">
        <v>170100</v>
      </c>
      <c r="L18" s="605">
        <v>170100</v>
      </c>
      <c r="M18" s="605">
        <v>170100</v>
      </c>
      <c r="N18" s="605">
        <v>170100</v>
      </c>
      <c r="O18" s="605">
        <v>170100</v>
      </c>
      <c r="P18" s="605">
        <v>170100</v>
      </c>
      <c r="Q18" s="612">
        <f t="shared" si="0"/>
        <v>2041200</v>
      </c>
      <c r="R18" s="605"/>
      <c r="S18" s="605"/>
      <c r="T18" s="605"/>
      <c r="U18" s="605"/>
      <c r="V18" s="605"/>
      <c r="W18" s="605">
        <f>P18*5</f>
        <v>850500</v>
      </c>
      <c r="X18" s="783"/>
      <c r="Y18" s="797">
        <f t="shared" si="1"/>
        <v>2891700</v>
      </c>
      <c r="Z18" s="596">
        <v>150000</v>
      </c>
      <c r="AA18" s="636" t="s">
        <v>601</v>
      </c>
      <c r="AB18" s="302"/>
    </row>
    <row r="19" spans="1:28" ht="15">
      <c r="A19" s="959" t="s">
        <v>1467</v>
      </c>
      <c r="B19" s="304" t="s">
        <v>156</v>
      </c>
      <c r="C19" s="469" t="s">
        <v>609</v>
      </c>
      <c r="D19" s="966">
        <v>1420900</v>
      </c>
      <c r="E19" s="605">
        <v>102400</v>
      </c>
      <c r="F19" s="605">
        <v>108000</v>
      </c>
      <c r="G19" s="605">
        <v>108000</v>
      </c>
      <c r="H19" s="605">
        <v>108000</v>
      </c>
      <c r="I19" s="605">
        <v>108000</v>
      </c>
      <c r="J19" s="605">
        <v>108000</v>
      </c>
      <c r="K19" s="605">
        <v>108000</v>
      </c>
      <c r="L19" s="605">
        <v>108000</v>
      </c>
      <c r="M19" s="605">
        <v>108000</v>
      </c>
      <c r="N19" s="605">
        <v>108000</v>
      </c>
      <c r="O19" s="605">
        <v>108000</v>
      </c>
      <c r="P19" s="605">
        <v>108000</v>
      </c>
      <c r="Q19" s="612">
        <f t="shared" si="0"/>
        <v>1290400</v>
      </c>
      <c r="R19" s="605"/>
      <c r="S19" s="605"/>
      <c r="T19" s="605"/>
      <c r="U19" s="605"/>
      <c r="V19" s="605"/>
      <c r="W19" s="605"/>
      <c r="X19" s="783"/>
      <c r="Y19" s="797">
        <f t="shared" si="1"/>
        <v>1290400</v>
      </c>
      <c r="Z19" s="596">
        <v>150000</v>
      </c>
      <c r="AA19" s="598" t="s">
        <v>1508</v>
      </c>
      <c r="AB19" s="302"/>
    </row>
    <row r="20" spans="1:28" ht="15">
      <c r="A20" s="959" t="s">
        <v>1468</v>
      </c>
      <c r="B20" s="1001" t="s">
        <v>157</v>
      </c>
      <c r="C20" s="469" t="s">
        <v>614</v>
      </c>
      <c r="D20" s="966">
        <v>1421500</v>
      </c>
      <c r="E20" s="605">
        <v>154600</v>
      </c>
      <c r="F20" s="605">
        <v>154600</v>
      </c>
      <c r="G20" s="605">
        <v>154600</v>
      </c>
      <c r="H20" s="605">
        <v>154600</v>
      </c>
      <c r="I20" s="605">
        <v>154600</v>
      </c>
      <c r="J20" s="605">
        <v>154600</v>
      </c>
      <c r="K20" s="605">
        <v>154600</v>
      </c>
      <c r="L20" s="605">
        <v>154600</v>
      </c>
      <c r="M20" s="605">
        <v>154600</v>
      </c>
      <c r="N20" s="605">
        <v>157700</v>
      </c>
      <c r="O20" s="605">
        <v>162300</v>
      </c>
      <c r="P20" s="605">
        <v>162300</v>
      </c>
      <c r="Q20" s="612">
        <f t="shared" si="0"/>
        <v>1873700</v>
      </c>
      <c r="R20" s="605"/>
      <c r="S20" s="605"/>
      <c r="T20" s="605"/>
      <c r="U20" s="605"/>
      <c r="V20" s="605"/>
      <c r="W20" s="605">
        <f>H20*3</f>
        <v>463800</v>
      </c>
      <c r="X20" s="783"/>
      <c r="Y20" s="797">
        <f t="shared" si="1"/>
        <v>2337500</v>
      </c>
      <c r="Z20" s="596">
        <v>150000</v>
      </c>
      <c r="AA20" s="950" t="s">
        <v>1774</v>
      </c>
      <c r="AB20" s="302"/>
    </row>
    <row r="21" spans="1:28" ht="15">
      <c r="A21" s="959" t="s">
        <v>1777</v>
      </c>
      <c r="B21" s="304" t="s">
        <v>1163</v>
      </c>
      <c r="C21" s="469" t="s">
        <v>608</v>
      </c>
      <c r="D21" s="966">
        <v>1411200</v>
      </c>
      <c r="E21" s="605">
        <v>201000</v>
      </c>
      <c r="F21" s="605">
        <v>201000</v>
      </c>
      <c r="G21" s="605">
        <v>201000</v>
      </c>
      <c r="H21" s="605">
        <v>201000</v>
      </c>
      <c r="I21" s="605">
        <v>201000</v>
      </c>
      <c r="J21" s="605">
        <v>201000</v>
      </c>
      <c r="K21" s="605">
        <v>201000</v>
      </c>
      <c r="L21" s="605">
        <v>201000</v>
      </c>
      <c r="M21" s="605">
        <v>201000</v>
      </c>
      <c r="N21" s="605">
        <v>201000</v>
      </c>
      <c r="O21" s="605">
        <v>201000</v>
      </c>
      <c r="P21" s="605">
        <v>201000</v>
      </c>
      <c r="Q21" s="612">
        <f t="shared" si="0"/>
        <v>2412000</v>
      </c>
      <c r="R21" s="605"/>
      <c r="S21" s="605"/>
      <c r="T21" s="961"/>
      <c r="U21" s="605"/>
      <c r="V21" s="605"/>
      <c r="W21" s="605"/>
      <c r="X21" s="783"/>
      <c r="Y21" s="797">
        <f t="shared" si="1"/>
        <v>2412000</v>
      </c>
      <c r="Z21" s="596">
        <v>150000</v>
      </c>
      <c r="AA21" s="600"/>
      <c r="AB21" s="302"/>
    </row>
    <row r="22" spans="1:28" ht="15">
      <c r="A22" s="959" t="s">
        <v>1778</v>
      </c>
      <c r="B22" s="304" t="s">
        <v>658</v>
      </c>
      <c r="C22" s="469" t="s">
        <v>614</v>
      </c>
      <c r="D22" s="966">
        <v>1421100</v>
      </c>
      <c r="E22" s="605">
        <v>108200</v>
      </c>
      <c r="F22" s="605">
        <v>108200</v>
      </c>
      <c r="G22" s="605">
        <v>108200</v>
      </c>
      <c r="H22" s="605">
        <v>108200</v>
      </c>
      <c r="I22" s="605">
        <v>108200</v>
      </c>
      <c r="J22" s="605">
        <v>108200</v>
      </c>
      <c r="K22" s="605">
        <v>108200</v>
      </c>
      <c r="L22" s="605">
        <v>108200</v>
      </c>
      <c r="M22" s="605">
        <v>108200</v>
      </c>
      <c r="N22" s="605">
        <v>108200</v>
      </c>
      <c r="O22" s="605">
        <v>108200</v>
      </c>
      <c r="P22" s="605">
        <v>108200</v>
      </c>
      <c r="Q22" s="612">
        <f t="shared" si="0"/>
        <v>1298400</v>
      </c>
      <c r="R22" s="605"/>
      <c r="S22" s="605"/>
      <c r="T22" s="605"/>
      <c r="U22" s="605"/>
      <c r="V22" s="605"/>
      <c r="W22" s="605">
        <f>N22*2</f>
        <v>216400</v>
      </c>
      <c r="X22" s="783"/>
      <c r="Y22" s="797">
        <f t="shared" si="1"/>
        <v>1514800</v>
      </c>
      <c r="Z22" s="596">
        <v>150000</v>
      </c>
      <c r="AA22" s="600" t="s">
        <v>664</v>
      </c>
      <c r="AB22" s="983"/>
    </row>
    <row r="23" spans="1:28" ht="15">
      <c r="A23" s="959" t="s">
        <v>1779</v>
      </c>
      <c r="B23" s="304" t="s">
        <v>158</v>
      </c>
      <c r="C23" s="469" t="s">
        <v>1285</v>
      </c>
      <c r="D23" s="963">
        <v>1400400</v>
      </c>
      <c r="E23" s="605">
        <v>318900</v>
      </c>
      <c r="F23" s="605">
        <v>318900</v>
      </c>
      <c r="G23" s="605">
        <v>318900</v>
      </c>
      <c r="H23" s="605">
        <v>318900</v>
      </c>
      <c r="I23" s="605">
        <v>318900</v>
      </c>
      <c r="J23" s="605">
        <v>318900</v>
      </c>
      <c r="K23" s="605">
        <v>318900</v>
      </c>
      <c r="L23" s="605">
        <v>318900</v>
      </c>
      <c r="M23" s="605">
        <v>318900</v>
      </c>
      <c r="N23" s="605">
        <v>318900</v>
      </c>
      <c r="O23" s="605">
        <v>318900</v>
      </c>
      <c r="P23" s="605">
        <v>318900</v>
      </c>
      <c r="Q23" s="612">
        <f t="shared" si="0"/>
        <v>3826800</v>
      </c>
      <c r="R23" s="605">
        <f>+Q23*0.2</f>
        <v>765360</v>
      </c>
      <c r="S23" s="605"/>
      <c r="T23" s="597"/>
      <c r="U23" s="605">
        <f>17364*12</f>
        <v>208368</v>
      </c>
      <c r="V23" s="605"/>
      <c r="W23" s="605"/>
      <c r="X23" s="783"/>
      <c r="Y23" s="797">
        <f t="shared" si="1"/>
        <v>4800528</v>
      </c>
      <c r="Z23" s="596">
        <v>150000</v>
      </c>
      <c r="AA23" s="596"/>
      <c r="AB23" s="983"/>
    </row>
    <row r="24" spans="1:28" ht="15">
      <c r="A24" s="959" t="s">
        <v>1780</v>
      </c>
      <c r="B24" s="304" t="s">
        <v>620</v>
      </c>
      <c r="C24" s="469" t="s">
        <v>1285</v>
      </c>
      <c r="D24" s="966">
        <v>1421600</v>
      </c>
      <c r="E24" s="605">
        <v>162300</v>
      </c>
      <c r="F24" s="605">
        <v>162300</v>
      </c>
      <c r="G24" s="605">
        <v>162300</v>
      </c>
      <c r="H24" s="605">
        <v>162300</v>
      </c>
      <c r="I24" s="605">
        <v>165600</v>
      </c>
      <c r="J24" s="605">
        <v>170100</v>
      </c>
      <c r="K24" s="605">
        <v>170100</v>
      </c>
      <c r="L24" s="605">
        <v>170100</v>
      </c>
      <c r="M24" s="605">
        <v>170100</v>
      </c>
      <c r="N24" s="605">
        <v>170100</v>
      </c>
      <c r="O24" s="605">
        <v>170100</v>
      </c>
      <c r="P24" s="605">
        <v>170100</v>
      </c>
      <c r="Q24" s="612">
        <f t="shared" si="0"/>
        <v>2005500</v>
      </c>
      <c r="R24" s="605"/>
      <c r="S24" s="605"/>
      <c r="T24" s="605"/>
      <c r="U24" s="605"/>
      <c r="V24" s="605"/>
      <c r="W24" s="605">
        <f>I24*4</f>
        <v>662400</v>
      </c>
      <c r="X24" s="783"/>
      <c r="Y24" s="797">
        <f t="shared" si="1"/>
        <v>2667900</v>
      </c>
      <c r="Z24" s="596">
        <v>150000</v>
      </c>
      <c r="AA24" s="599" t="s">
        <v>1775</v>
      </c>
      <c r="AB24" s="302"/>
    </row>
    <row r="25" spans="1:28" ht="15">
      <c r="A25" s="959" t="s">
        <v>1781</v>
      </c>
      <c r="B25" s="304" t="s">
        <v>1985</v>
      </c>
      <c r="C25" s="469"/>
      <c r="D25" s="966">
        <v>1410600</v>
      </c>
      <c r="E25" s="605">
        <v>150700</v>
      </c>
      <c r="F25" s="605">
        <v>150700</v>
      </c>
      <c r="G25" s="605">
        <v>150700</v>
      </c>
      <c r="H25" s="605">
        <v>150700</v>
      </c>
      <c r="I25" s="605">
        <v>150700</v>
      </c>
      <c r="J25" s="605">
        <v>150700</v>
      </c>
      <c r="K25" s="605">
        <v>150700</v>
      </c>
      <c r="L25" s="605">
        <v>157100</v>
      </c>
      <c r="M25" s="605">
        <v>162300</v>
      </c>
      <c r="N25" s="605">
        <v>162300</v>
      </c>
      <c r="O25" s="605">
        <v>162300</v>
      </c>
      <c r="P25" s="605">
        <v>162300</v>
      </c>
      <c r="Q25" s="612">
        <f t="shared" si="0"/>
        <v>1861200</v>
      </c>
      <c r="R25" s="605"/>
      <c r="S25" s="605">
        <f>38650*0.6*12</f>
        <v>278280</v>
      </c>
      <c r="T25" s="605"/>
      <c r="U25" s="605"/>
      <c r="V25" s="718"/>
      <c r="W25" s="605"/>
      <c r="X25" s="783"/>
      <c r="Y25" s="797">
        <f t="shared" si="1"/>
        <v>2139480</v>
      </c>
      <c r="Z25" s="596">
        <v>150000</v>
      </c>
      <c r="AA25" s="956"/>
      <c r="AB25" s="302"/>
    </row>
    <row r="26" spans="1:28" ht="15">
      <c r="A26" s="959" t="s">
        <v>1782</v>
      </c>
      <c r="B26" s="304" t="s">
        <v>159</v>
      </c>
      <c r="C26" s="469" t="s">
        <v>609</v>
      </c>
      <c r="D26" s="966">
        <v>1421000</v>
      </c>
      <c r="E26" s="605">
        <v>102400</v>
      </c>
      <c r="F26" s="605">
        <v>108000</v>
      </c>
      <c r="G26" s="605">
        <v>108000</v>
      </c>
      <c r="H26" s="605">
        <v>108000</v>
      </c>
      <c r="I26" s="605">
        <v>108000</v>
      </c>
      <c r="J26" s="605">
        <v>108000</v>
      </c>
      <c r="K26" s="605">
        <v>108000</v>
      </c>
      <c r="L26" s="605">
        <v>108000</v>
      </c>
      <c r="M26" s="605">
        <v>108000</v>
      </c>
      <c r="N26" s="605">
        <v>108000</v>
      </c>
      <c r="O26" s="605">
        <v>108000</v>
      </c>
      <c r="P26" s="605">
        <v>108000</v>
      </c>
      <c r="Q26" s="612">
        <f t="shared" si="0"/>
        <v>1290400</v>
      </c>
      <c r="R26" s="605"/>
      <c r="S26" s="605"/>
      <c r="T26" s="605"/>
      <c r="U26" s="605"/>
      <c r="V26" s="605"/>
      <c r="W26" s="605"/>
      <c r="X26" s="783"/>
      <c r="Y26" s="797">
        <f t="shared" si="1"/>
        <v>1290400</v>
      </c>
      <c r="Z26" s="596">
        <v>150000</v>
      </c>
      <c r="AA26" s="600"/>
      <c r="AB26" s="302"/>
    </row>
    <row r="27" spans="1:28" ht="15">
      <c r="A27" s="959" t="s">
        <v>1783</v>
      </c>
      <c r="B27" s="304" t="s">
        <v>160</v>
      </c>
      <c r="C27" s="469" t="s">
        <v>610</v>
      </c>
      <c r="D27" s="966">
        <v>1400700</v>
      </c>
      <c r="E27" s="605">
        <v>270600</v>
      </c>
      <c r="F27" s="605">
        <v>270600</v>
      </c>
      <c r="G27" s="605">
        <v>270600</v>
      </c>
      <c r="H27" s="605">
        <v>270600</v>
      </c>
      <c r="I27" s="605">
        <v>270600</v>
      </c>
      <c r="J27" s="605">
        <v>270600</v>
      </c>
      <c r="K27" s="605">
        <v>270600</v>
      </c>
      <c r="L27" s="605">
        <v>270600</v>
      </c>
      <c r="M27" s="605">
        <v>270600</v>
      </c>
      <c r="N27" s="605">
        <v>270600</v>
      </c>
      <c r="O27" s="605">
        <v>270600</v>
      </c>
      <c r="P27" s="605">
        <v>270600</v>
      </c>
      <c r="Q27" s="612">
        <f t="shared" si="0"/>
        <v>3247200</v>
      </c>
      <c r="R27" s="605"/>
      <c r="S27" s="605">
        <f>38650*0.6*12</f>
        <v>278280</v>
      </c>
      <c r="T27" s="605"/>
      <c r="U27" s="605"/>
      <c r="V27" s="605"/>
      <c r="W27" s="605"/>
      <c r="X27" s="783"/>
      <c r="Y27" s="797">
        <f t="shared" si="1"/>
        <v>3525480</v>
      </c>
      <c r="Z27" s="596">
        <v>150000</v>
      </c>
      <c r="AA27" s="596"/>
      <c r="AB27" s="302"/>
    </row>
    <row r="28" spans="1:28" ht="15">
      <c r="A28" s="959" t="s">
        <v>1784</v>
      </c>
      <c r="B28" s="304" t="s">
        <v>1510</v>
      </c>
      <c r="C28" s="469" t="s">
        <v>608</v>
      </c>
      <c r="D28" s="966">
        <v>1400700</v>
      </c>
      <c r="E28" s="605">
        <v>270600</v>
      </c>
      <c r="F28" s="605">
        <v>270600</v>
      </c>
      <c r="G28" s="605">
        <v>270600</v>
      </c>
      <c r="H28" s="605">
        <v>270600</v>
      </c>
      <c r="I28" s="605">
        <v>270600</v>
      </c>
      <c r="J28" s="605">
        <v>270600</v>
      </c>
      <c r="K28" s="605">
        <v>270600</v>
      </c>
      <c r="L28" s="605">
        <v>270600</v>
      </c>
      <c r="M28" s="605">
        <v>270600</v>
      </c>
      <c r="N28" s="605">
        <v>270600</v>
      </c>
      <c r="O28" s="605">
        <v>270600</v>
      </c>
      <c r="P28" s="605">
        <v>270600</v>
      </c>
      <c r="Q28" s="612">
        <f t="shared" si="0"/>
        <v>3247200</v>
      </c>
      <c r="R28" s="605"/>
      <c r="S28" s="605">
        <f>38650*0.6*12</f>
        <v>278280</v>
      </c>
      <c r="T28" s="605"/>
      <c r="U28" s="605"/>
      <c r="V28" s="605"/>
      <c r="W28" s="605"/>
      <c r="X28" s="783"/>
      <c r="Y28" s="797">
        <f t="shared" si="1"/>
        <v>3525480</v>
      </c>
      <c r="Z28" s="596">
        <v>150000</v>
      </c>
      <c r="AA28" s="596"/>
      <c r="AB28" s="302"/>
    </row>
    <row r="29" spans="1:28" ht="15">
      <c r="A29" s="959" t="s">
        <v>1785</v>
      </c>
      <c r="B29" s="304" t="s">
        <v>8</v>
      </c>
      <c r="C29" s="469" t="s">
        <v>1285</v>
      </c>
      <c r="D29" s="966">
        <v>1410200</v>
      </c>
      <c r="E29" s="605">
        <v>123700</v>
      </c>
      <c r="F29" s="605">
        <v>123700</v>
      </c>
      <c r="G29" s="605">
        <v>123700</v>
      </c>
      <c r="H29" s="605">
        <v>123700</v>
      </c>
      <c r="I29" s="605">
        <v>123700</v>
      </c>
      <c r="J29" s="605">
        <v>123700</v>
      </c>
      <c r="K29" s="605">
        <v>123700</v>
      </c>
      <c r="L29" s="605">
        <v>123700</v>
      </c>
      <c r="M29" s="605">
        <v>125500</v>
      </c>
      <c r="N29" s="605">
        <v>127500</v>
      </c>
      <c r="O29" s="605">
        <v>127500</v>
      </c>
      <c r="P29" s="605">
        <v>127500</v>
      </c>
      <c r="Q29" s="612">
        <f t="shared" si="0"/>
        <v>1497600</v>
      </c>
      <c r="R29" s="605"/>
      <c r="S29" s="605"/>
      <c r="T29" s="605"/>
      <c r="U29" s="605"/>
      <c r="V29" s="605"/>
      <c r="W29" s="605"/>
      <c r="X29" s="783"/>
      <c r="Y29" s="797">
        <f t="shared" si="1"/>
        <v>1497600</v>
      </c>
      <c r="Z29" s="596">
        <v>150000</v>
      </c>
      <c r="AA29" s="596"/>
      <c r="AB29" s="302"/>
    </row>
    <row r="30" spans="1:28" ht="15">
      <c r="A30" s="959"/>
      <c r="B30" s="615" t="s">
        <v>1286</v>
      </c>
      <c r="C30" s="469"/>
      <c r="D30" s="630"/>
      <c r="E30" s="605"/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5"/>
      <c r="Q30" s="612">
        <f aca="true" t="shared" si="2" ref="Q30:X30">SUM(Q2:Q29)</f>
        <v>60838800</v>
      </c>
      <c r="R30" s="612">
        <f t="shared" si="2"/>
        <v>1530720</v>
      </c>
      <c r="S30" s="612">
        <f t="shared" si="2"/>
        <v>2411760</v>
      </c>
      <c r="T30" s="612">
        <f t="shared" si="2"/>
        <v>0</v>
      </c>
      <c r="U30" s="612">
        <f t="shared" si="2"/>
        <v>1739088</v>
      </c>
      <c r="V30" s="612">
        <f t="shared" si="2"/>
        <v>0</v>
      </c>
      <c r="W30" s="612">
        <f t="shared" si="2"/>
        <v>5283400</v>
      </c>
      <c r="X30" s="612">
        <f t="shared" si="2"/>
        <v>0</v>
      </c>
      <c r="Y30" s="797">
        <f t="shared" si="1"/>
        <v>71803768</v>
      </c>
      <c r="Z30" s="596">
        <f>SUM(Z2:Z29)</f>
        <v>4200000</v>
      </c>
      <c r="AA30" s="596"/>
      <c r="AB30" s="302"/>
    </row>
    <row r="31" spans="1:28" ht="15">
      <c r="A31" s="959" t="s">
        <v>1799</v>
      </c>
      <c r="B31" s="601" t="s">
        <v>1279</v>
      </c>
      <c r="C31" s="597"/>
      <c r="D31" s="957" t="s">
        <v>659</v>
      </c>
      <c r="E31" s="607">
        <v>160000</v>
      </c>
      <c r="F31" s="607">
        <v>160000</v>
      </c>
      <c r="G31" s="607">
        <v>160000</v>
      </c>
      <c r="H31" s="607">
        <v>160000</v>
      </c>
      <c r="I31" s="607">
        <v>160000</v>
      </c>
      <c r="J31" s="607">
        <v>160000</v>
      </c>
      <c r="K31" s="607">
        <v>160000</v>
      </c>
      <c r="L31" s="607">
        <v>160000</v>
      </c>
      <c r="M31" s="607">
        <v>160000</v>
      </c>
      <c r="N31" s="607">
        <v>160000</v>
      </c>
      <c r="O31" s="607">
        <v>160000</v>
      </c>
      <c r="P31" s="607">
        <v>160000</v>
      </c>
      <c r="Q31" s="612">
        <f aca="true" t="shared" si="3" ref="Q31:Q42">SUBTOTAL(9,E31:P31)</f>
        <v>1920000</v>
      </c>
      <c r="R31" s="607"/>
      <c r="S31" s="610"/>
      <c r="T31" s="607"/>
      <c r="U31" s="607"/>
      <c r="V31" s="607"/>
      <c r="W31" s="607"/>
      <c r="X31" s="784"/>
      <c r="Y31" s="797">
        <f t="shared" si="1"/>
        <v>1920000</v>
      </c>
      <c r="Z31" s="596">
        <v>150000</v>
      </c>
      <c r="AA31" s="636"/>
      <c r="AB31" s="302"/>
    </row>
    <row r="32" spans="1:28" ht="15">
      <c r="A32" s="959"/>
      <c r="B32" s="635" t="s">
        <v>20</v>
      </c>
      <c r="C32" s="597"/>
      <c r="D32" s="632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12">
        <f aca="true" t="shared" si="4" ref="Q32:X32">SUM(Q31)</f>
        <v>1920000</v>
      </c>
      <c r="R32" s="607">
        <f t="shared" si="4"/>
        <v>0</v>
      </c>
      <c r="S32" s="607">
        <f t="shared" si="4"/>
        <v>0</v>
      </c>
      <c r="T32" s="607">
        <f t="shared" si="4"/>
        <v>0</v>
      </c>
      <c r="U32" s="607">
        <f t="shared" si="4"/>
        <v>0</v>
      </c>
      <c r="V32" s="607">
        <f t="shared" si="4"/>
        <v>0</v>
      </c>
      <c r="W32" s="607">
        <f t="shared" si="4"/>
        <v>0</v>
      </c>
      <c r="X32" s="607">
        <f t="shared" si="4"/>
        <v>0</v>
      </c>
      <c r="Y32" s="797">
        <f t="shared" si="1"/>
        <v>1920000</v>
      </c>
      <c r="Z32" s="647">
        <f>SUM(Z31)</f>
        <v>150000</v>
      </c>
      <c r="AA32" s="596"/>
      <c r="AB32" s="302"/>
    </row>
    <row r="33" spans="1:28" ht="15">
      <c r="A33" s="959" t="s">
        <v>1800</v>
      </c>
      <c r="B33" s="704" t="s">
        <v>1282</v>
      </c>
      <c r="C33" s="705" t="s">
        <v>1284</v>
      </c>
      <c r="D33" s="706" t="s">
        <v>660</v>
      </c>
      <c r="E33" s="707">
        <v>103200</v>
      </c>
      <c r="F33" s="707">
        <v>106600</v>
      </c>
      <c r="G33" s="707">
        <v>106600</v>
      </c>
      <c r="H33" s="707">
        <v>106600</v>
      </c>
      <c r="I33" s="707">
        <v>106600</v>
      </c>
      <c r="J33" s="707">
        <v>106600</v>
      </c>
      <c r="K33" s="707">
        <v>106600</v>
      </c>
      <c r="L33" s="707">
        <v>106600</v>
      </c>
      <c r="M33" s="707">
        <v>106600</v>
      </c>
      <c r="N33" s="707">
        <v>106600</v>
      </c>
      <c r="O33" s="707">
        <v>106600</v>
      </c>
      <c r="P33" s="707">
        <v>106600</v>
      </c>
      <c r="Q33" s="708">
        <f t="shared" si="3"/>
        <v>1275800</v>
      </c>
      <c r="R33" s="707"/>
      <c r="S33" s="709"/>
      <c r="T33" s="707"/>
      <c r="U33" s="707"/>
      <c r="V33" s="707"/>
      <c r="W33" s="707"/>
      <c r="X33" s="790"/>
      <c r="Y33" s="862">
        <f t="shared" si="1"/>
        <v>1275800</v>
      </c>
      <c r="Z33" s="710"/>
      <c r="AA33" s="710"/>
      <c r="AB33" s="711"/>
    </row>
    <row r="34" spans="1:28" ht="15">
      <c r="A34" s="959" t="s">
        <v>1801</v>
      </c>
      <c r="B34" s="704" t="s">
        <v>1283</v>
      </c>
      <c r="C34" s="705" t="s">
        <v>1284</v>
      </c>
      <c r="D34" s="706" t="s">
        <v>661</v>
      </c>
      <c r="E34" s="707">
        <v>129500</v>
      </c>
      <c r="F34" s="707">
        <v>129500</v>
      </c>
      <c r="G34" s="707">
        <v>129500</v>
      </c>
      <c r="H34" s="707">
        <v>129500</v>
      </c>
      <c r="I34" s="707">
        <v>129500</v>
      </c>
      <c r="J34" s="707">
        <v>129500</v>
      </c>
      <c r="K34" s="707">
        <v>129500</v>
      </c>
      <c r="L34" s="707">
        <v>129500</v>
      </c>
      <c r="M34" s="707">
        <v>129500</v>
      </c>
      <c r="N34" s="707">
        <v>129500</v>
      </c>
      <c r="O34" s="707">
        <v>129500</v>
      </c>
      <c r="P34" s="707">
        <v>129500</v>
      </c>
      <c r="Q34" s="708">
        <f t="shared" si="3"/>
        <v>1554000</v>
      </c>
      <c r="R34" s="707">
        <f>220500*12</f>
        <v>2646000</v>
      </c>
      <c r="S34" s="709"/>
      <c r="T34" s="707"/>
      <c r="U34" s="707"/>
      <c r="V34" s="707"/>
      <c r="W34" s="707"/>
      <c r="X34" s="790"/>
      <c r="Y34" s="862">
        <f t="shared" si="1"/>
        <v>4200000</v>
      </c>
      <c r="Z34" s="710"/>
      <c r="AA34" s="710"/>
      <c r="AB34" s="711"/>
    </row>
    <row r="35" spans="1:28" ht="15">
      <c r="A35" s="959"/>
      <c r="B35" s="635" t="s">
        <v>24</v>
      </c>
      <c r="C35" s="606"/>
      <c r="D35" s="631"/>
      <c r="E35" s="607"/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607"/>
      <c r="Q35" s="612">
        <f aca="true" t="shared" si="5" ref="Q35:X35">SUM(Q33:Q34)</f>
        <v>2829800</v>
      </c>
      <c r="R35" s="607">
        <f t="shared" si="5"/>
        <v>2646000</v>
      </c>
      <c r="S35" s="607">
        <f t="shared" si="5"/>
        <v>0</v>
      </c>
      <c r="T35" s="607">
        <f t="shared" si="5"/>
        <v>0</v>
      </c>
      <c r="U35" s="607">
        <f t="shared" si="5"/>
        <v>0</v>
      </c>
      <c r="V35" s="607">
        <f t="shared" si="5"/>
        <v>0</v>
      </c>
      <c r="W35" s="607">
        <f t="shared" si="5"/>
        <v>0</v>
      </c>
      <c r="X35" s="607">
        <f t="shared" si="5"/>
        <v>0</v>
      </c>
      <c r="Y35" s="797">
        <f t="shared" si="1"/>
        <v>5475800</v>
      </c>
      <c r="Z35" s="596">
        <f>SUM(Z33:Z34)</f>
        <v>0</v>
      </c>
      <c r="AA35" s="596"/>
      <c r="AB35" s="302"/>
    </row>
    <row r="36" spans="1:28" ht="15">
      <c r="A36" s="959" t="s">
        <v>1802</v>
      </c>
      <c r="B36" s="601" t="s">
        <v>1278</v>
      </c>
      <c r="C36" s="597"/>
      <c r="D36" s="632"/>
      <c r="E36" s="607">
        <v>174000</v>
      </c>
      <c r="F36" s="607">
        <v>174000</v>
      </c>
      <c r="G36" s="607">
        <v>174000</v>
      </c>
      <c r="H36" s="607">
        <v>174000</v>
      </c>
      <c r="I36" s="607">
        <v>174000</v>
      </c>
      <c r="J36" s="607">
        <v>174000</v>
      </c>
      <c r="K36" s="607">
        <v>174000</v>
      </c>
      <c r="L36" s="607">
        <v>174000</v>
      </c>
      <c r="M36" s="607">
        <v>174000</v>
      </c>
      <c r="N36" s="607">
        <v>174000</v>
      </c>
      <c r="O36" s="607">
        <v>174000</v>
      </c>
      <c r="P36" s="607">
        <v>174000</v>
      </c>
      <c r="Q36" s="612">
        <f t="shared" si="3"/>
        <v>2088000</v>
      </c>
      <c r="R36" s="607"/>
      <c r="S36" s="610"/>
      <c r="T36" s="607"/>
      <c r="U36" s="607"/>
      <c r="V36" s="607"/>
      <c r="W36" s="607"/>
      <c r="X36" s="784"/>
      <c r="Y36" s="797">
        <f t="shared" si="1"/>
        <v>2088000</v>
      </c>
      <c r="Z36" s="596"/>
      <c r="AA36" s="596"/>
      <c r="AB36" s="302"/>
    </row>
    <row r="37" spans="1:28" ht="15">
      <c r="A37" s="959" t="s">
        <v>1803</v>
      </c>
      <c r="B37" s="601" t="s">
        <v>1407</v>
      </c>
      <c r="C37" s="597"/>
      <c r="D37" s="629" t="s">
        <v>17</v>
      </c>
      <c r="E37" s="607">
        <v>130690</v>
      </c>
      <c r="F37" s="607">
        <v>130690</v>
      </c>
      <c r="G37" s="607">
        <v>130690</v>
      </c>
      <c r="H37" s="607">
        <v>130690</v>
      </c>
      <c r="I37" s="607">
        <v>130690</v>
      </c>
      <c r="J37" s="607">
        <v>130690</v>
      </c>
      <c r="K37" s="607">
        <v>130690</v>
      </c>
      <c r="L37" s="607">
        <v>130690</v>
      </c>
      <c r="M37" s="607">
        <v>130690</v>
      </c>
      <c r="N37" s="607">
        <v>130690</v>
      </c>
      <c r="O37" s="607">
        <v>130690</v>
      </c>
      <c r="P37" s="607">
        <v>130690</v>
      </c>
      <c r="Q37" s="612">
        <f t="shared" si="3"/>
        <v>1568280</v>
      </c>
      <c r="R37" s="607"/>
      <c r="S37" s="610"/>
      <c r="T37" s="607"/>
      <c r="U37" s="607"/>
      <c r="V37" s="607"/>
      <c r="W37" s="607"/>
      <c r="X37" s="784"/>
      <c r="Y37" s="797">
        <f t="shared" si="1"/>
        <v>1568280</v>
      </c>
      <c r="Z37" s="596">
        <f>150000*0.3</f>
        <v>45000</v>
      </c>
      <c r="AA37" s="600"/>
      <c r="AB37" s="302"/>
    </row>
    <row r="38" spans="1:28" ht="15">
      <c r="A38" s="959" t="s">
        <v>1804</v>
      </c>
      <c r="B38" s="601" t="s">
        <v>1280</v>
      </c>
      <c r="C38" s="597"/>
      <c r="D38" s="632"/>
      <c r="E38" s="607">
        <v>50000</v>
      </c>
      <c r="F38" s="607">
        <v>50000</v>
      </c>
      <c r="G38" s="607">
        <v>50000</v>
      </c>
      <c r="H38" s="607">
        <v>50000</v>
      </c>
      <c r="I38" s="607">
        <v>50000</v>
      </c>
      <c r="J38" s="607">
        <v>50000</v>
      </c>
      <c r="K38" s="607">
        <v>50000</v>
      </c>
      <c r="L38" s="607">
        <v>50000</v>
      </c>
      <c r="M38" s="607">
        <v>50000</v>
      </c>
      <c r="N38" s="607">
        <v>50000</v>
      </c>
      <c r="O38" s="607">
        <v>50000</v>
      </c>
      <c r="P38" s="607">
        <v>50000</v>
      </c>
      <c r="Q38" s="612">
        <f>SUBTOTAL(9,E38:P38)</f>
        <v>600000</v>
      </c>
      <c r="R38" s="607"/>
      <c r="S38" s="610"/>
      <c r="T38" s="607"/>
      <c r="U38" s="607"/>
      <c r="V38" s="607"/>
      <c r="W38" s="607"/>
      <c r="X38" s="784"/>
      <c r="Y38" s="797">
        <f t="shared" si="1"/>
        <v>600000</v>
      </c>
      <c r="Z38" s="596"/>
      <c r="AA38" s="596"/>
      <c r="AB38" s="302"/>
    </row>
    <row r="39" spans="1:28" ht="15">
      <c r="A39" s="302"/>
      <c r="B39" s="635" t="s">
        <v>21</v>
      </c>
      <c r="C39" s="597"/>
      <c r="D39" s="632"/>
      <c r="E39" s="607"/>
      <c r="F39" s="607"/>
      <c r="G39" s="607"/>
      <c r="H39" s="607"/>
      <c r="I39" s="607"/>
      <c r="J39" s="607"/>
      <c r="K39" s="607"/>
      <c r="L39" s="607"/>
      <c r="M39" s="607"/>
      <c r="N39" s="607"/>
      <c r="O39" s="607"/>
      <c r="P39" s="607"/>
      <c r="Q39" s="612">
        <f aca="true" t="shared" si="6" ref="Q39:X39">SUM(Q36:Q38)</f>
        <v>4256280</v>
      </c>
      <c r="R39" s="607">
        <f t="shared" si="6"/>
        <v>0</v>
      </c>
      <c r="S39" s="607">
        <f t="shared" si="6"/>
        <v>0</v>
      </c>
      <c r="T39" s="607">
        <f t="shared" si="6"/>
        <v>0</v>
      </c>
      <c r="U39" s="607">
        <f t="shared" si="6"/>
        <v>0</v>
      </c>
      <c r="V39" s="607">
        <f t="shared" si="6"/>
        <v>0</v>
      </c>
      <c r="W39" s="607">
        <f t="shared" si="6"/>
        <v>0</v>
      </c>
      <c r="X39" s="607">
        <f t="shared" si="6"/>
        <v>0</v>
      </c>
      <c r="Y39" s="797">
        <f t="shared" si="1"/>
        <v>4256280</v>
      </c>
      <c r="Z39" s="596">
        <f>SUM(Z36:Z38)</f>
        <v>45000</v>
      </c>
      <c r="AA39" s="596"/>
      <c r="AB39" s="302"/>
    </row>
    <row r="40" spans="1:28" ht="15">
      <c r="A40" s="959" t="s">
        <v>1805</v>
      </c>
      <c r="B40" s="601" t="s">
        <v>603</v>
      </c>
      <c r="C40" s="614" t="s">
        <v>3</v>
      </c>
      <c r="D40" s="633" t="s">
        <v>662</v>
      </c>
      <c r="E40" s="607">
        <v>58500</v>
      </c>
      <c r="F40" s="607">
        <v>58500</v>
      </c>
      <c r="G40" s="607">
        <v>58500</v>
      </c>
      <c r="H40" s="607">
        <v>58500</v>
      </c>
      <c r="I40" s="607">
        <v>58500</v>
      </c>
      <c r="J40" s="607">
        <v>58500</v>
      </c>
      <c r="K40" s="607">
        <v>58500</v>
      </c>
      <c r="L40" s="607">
        <v>58500</v>
      </c>
      <c r="M40" s="607">
        <v>58500</v>
      </c>
      <c r="N40" s="607">
        <v>58500</v>
      </c>
      <c r="O40" s="607">
        <v>58500</v>
      </c>
      <c r="P40" s="607">
        <v>58500</v>
      </c>
      <c r="Q40" s="612">
        <f t="shared" si="3"/>
        <v>702000</v>
      </c>
      <c r="R40" s="607">
        <f>5000*12</f>
        <v>60000</v>
      </c>
      <c r="S40" s="610"/>
      <c r="T40" s="607"/>
      <c r="U40" s="607"/>
      <c r="V40" s="607"/>
      <c r="W40" s="607"/>
      <c r="X40" s="784"/>
      <c r="Y40" s="797">
        <f t="shared" si="1"/>
        <v>762000</v>
      </c>
      <c r="Z40" s="596"/>
      <c r="AA40" s="596"/>
      <c r="AB40" s="302"/>
    </row>
    <row r="41" spans="1:28" ht="15">
      <c r="A41" s="959" t="s">
        <v>1806</v>
      </c>
      <c r="B41" s="601" t="s">
        <v>161</v>
      </c>
      <c r="C41" s="614" t="s">
        <v>3</v>
      </c>
      <c r="D41" s="633" t="s">
        <v>663</v>
      </c>
      <c r="E41" s="607">
        <v>62200</v>
      </c>
      <c r="F41" s="607">
        <v>62200</v>
      </c>
      <c r="G41" s="607">
        <v>62200</v>
      </c>
      <c r="H41" s="607">
        <v>62200</v>
      </c>
      <c r="I41" s="607">
        <v>62200</v>
      </c>
      <c r="J41" s="607">
        <v>62200</v>
      </c>
      <c r="K41" s="607">
        <v>62200</v>
      </c>
      <c r="L41" s="607">
        <v>62200</v>
      </c>
      <c r="M41" s="607">
        <v>62200</v>
      </c>
      <c r="N41" s="607">
        <v>62200</v>
      </c>
      <c r="O41" s="607">
        <v>62200</v>
      </c>
      <c r="P41" s="607">
        <v>62200</v>
      </c>
      <c r="Q41" s="612">
        <f t="shared" si="3"/>
        <v>746400</v>
      </c>
      <c r="R41" s="607">
        <f>5000*12</f>
        <v>60000</v>
      </c>
      <c r="S41" s="610"/>
      <c r="T41" s="607"/>
      <c r="U41" s="607"/>
      <c r="V41" s="607"/>
      <c r="W41" s="607"/>
      <c r="X41" s="784"/>
      <c r="Y41" s="797">
        <f t="shared" si="1"/>
        <v>806400</v>
      </c>
      <c r="Z41" s="596"/>
      <c r="AA41" s="596"/>
      <c r="AB41" s="302"/>
    </row>
    <row r="42" spans="1:28" ht="15">
      <c r="A42" s="959" t="s">
        <v>1807</v>
      </c>
      <c r="B42" s="601" t="s">
        <v>162</v>
      </c>
      <c r="C42" s="614" t="s">
        <v>3</v>
      </c>
      <c r="D42" s="633" t="s">
        <v>663</v>
      </c>
      <c r="E42" s="604">
        <v>62200</v>
      </c>
      <c r="F42" s="604">
        <v>62200</v>
      </c>
      <c r="G42" s="604">
        <v>62200</v>
      </c>
      <c r="H42" s="604">
        <v>62200</v>
      </c>
      <c r="I42" s="604">
        <v>62200</v>
      </c>
      <c r="J42" s="604">
        <v>62200</v>
      </c>
      <c r="K42" s="604">
        <v>62200</v>
      </c>
      <c r="L42" s="604">
        <v>62200</v>
      </c>
      <c r="M42" s="604">
        <v>62200</v>
      </c>
      <c r="N42" s="604">
        <v>62200</v>
      </c>
      <c r="O42" s="604">
        <v>62200</v>
      </c>
      <c r="P42" s="604">
        <v>62200</v>
      </c>
      <c r="Q42" s="611">
        <f t="shared" si="3"/>
        <v>746400</v>
      </c>
      <c r="R42" s="607">
        <f>5000*12</f>
        <v>60000</v>
      </c>
      <c r="S42" s="638"/>
      <c r="T42" s="604"/>
      <c r="U42" s="604"/>
      <c r="V42" s="604"/>
      <c r="W42" s="604"/>
      <c r="X42" s="791"/>
      <c r="Y42" s="797">
        <f t="shared" si="1"/>
        <v>806400</v>
      </c>
      <c r="Z42" s="596"/>
      <c r="AA42" s="596"/>
      <c r="AB42" s="302"/>
    </row>
    <row r="43" spans="1:28" ht="15.75" thickBot="1">
      <c r="A43" s="302"/>
      <c r="B43" s="635" t="s">
        <v>22</v>
      </c>
      <c r="C43" s="597"/>
      <c r="D43" s="632"/>
      <c r="E43" s="637"/>
      <c r="F43" s="597"/>
      <c r="G43" s="597"/>
      <c r="H43" s="597"/>
      <c r="I43" s="597"/>
      <c r="J43" s="597"/>
      <c r="K43" s="597"/>
      <c r="L43" s="597"/>
      <c r="M43" s="597"/>
      <c r="N43" s="597"/>
      <c r="O43" s="597"/>
      <c r="P43" s="597"/>
      <c r="Q43" s="604">
        <f aca="true" t="shared" si="7" ref="Q43:X43">SUM(Q40:Q42)</f>
        <v>2194800</v>
      </c>
      <c r="R43" s="958">
        <f t="shared" si="7"/>
        <v>180000</v>
      </c>
      <c r="S43" s="958">
        <f t="shared" si="7"/>
        <v>0</v>
      </c>
      <c r="T43" s="958">
        <f t="shared" si="7"/>
        <v>0</v>
      </c>
      <c r="U43" s="958">
        <f t="shared" si="7"/>
        <v>0</v>
      </c>
      <c r="V43" s="958">
        <f t="shared" si="7"/>
        <v>0</v>
      </c>
      <c r="W43" s="958">
        <f t="shared" si="7"/>
        <v>0</v>
      </c>
      <c r="X43" s="958">
        <f t="shared" si="7"/>
        <v>0</v>
      </c>
      <c r="Y43" s="798">
        <f t="shared" si="1"/>
        <v>2374800</v>
      </c>
      <c r="Z43" s="596">
        <f>SUM(Z40:Z42)</f>
        <v>0</v>
      </c>
      <c r="AA43" s="596"/>
      <c r="AB43" s="302"/>
    </row>
    <row r="44" spans="1:28" ht="15">
      <c r="A44" s="302"/>
      <c r="B44" s="602"/>
      <c r="C44" s="470"/>
      <c r="D44" s="634"/>
      <c r="E44" s="603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603"/>
      <c r="R44" s="470"/>
      <c r="S44" s="639"/>
      <c r="T44" s="470"/>
      <c r="U44" s="470"/>
      <c r="V44" s="470"/>
      <c r="W44" s="470"/>
      <c r="X44" s="470"/>
      <c r="Y44" s="470"/>
      <c r="Z44" s="302"/>
      <c r="AA44" s="302"/>
      <c r="AB44" s="302"/>
    </row>
    <row r="45" spans="1:28" ht="15">
      <c r="A45" s="302"/>
      <c r="B45" s="602"/>
      <c r="C45" s="470"/>
      <c r="D45" s="634"/>
      <c r="E45" s="603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603"/>
      <c r="R45" s="470"/>
      <c r="S45" s="639"/>
      <c r="T45" s="470"/>
      <c r="U45" s="470"/>
      <c r="V45" s="470"/>
      <c r="W45" s="801" t="s">
        <v>1293</v>
      </c>
      <c r="X45" s="802" t="e">
        <f>Y3+#REF!+#REF!+Y6+Y14+Y15+#REF!+#REF!+Y18+#REF!+Y19+Y13+Y21+#REF!+Y24+#REF!+Y27</f>
        <v>#REF!</v>
      </c>
      <c r="Y45" s="802">
        <f>Y30+Y32+Y35+Y39+Y43</f>
        <v>85830648</v>
      </c>
      <c r="Z45" s="802">
        <f>Z30+Z32+Z35+Z39+Z43</f>
        <v>4395000</v>
      </c>
      <c r="AA45" s="1011">
        <f>SUM(Y45:Z45)</f>
        <v>90225648</v>
      </c>
      <c r="AB45" s="302"/>
    </row>
    <row r="46" spans="1:28" ht="15">
      <c r="A46" s="302"/>
      <c r="B46" s="602"/>
      <c r="C46" s="470"/>
      <c r="D46" s="634"/>
      <c r="E46" s="603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603"/>
      <c r="R46" s="470"/>
      <c r="S46" s="639"/>
      <c r="T46" s="470"/>
      <c r="U46" s="470"/>
      <c r="V46" s="470"/>
      <c r="W46" s="470"/>
      <c r="X46" s="470"/>
      <c r="Y46" s="802">
        <f>ROUND(Y45,-3)/1000</f>
        <v>85831</v>
      </c>
      <c r="Z46" s="802">
        <f>ROUND(Z45,-3)/1000</f>
        <v>4395</v>
      </c>
      <c r="AA46" s="302"/>
      <c r="AB46" s="302"/>
    </row>
    <row r="47" spans="1:28" ht="15">
      <c r="A47" s="302"/>
      <c r="B47" s="602"/>
      <c r="C47" s="470"/>
      <c r="D47" s="634"/>
      <c r="E47" s="603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603"/>
      <c r="R47" s="470"/>
      <c r="S47" s="639"/>
      <c r="T47" s="470"/>
      <c r="U47" s="470"/>
      <c r="V47" s="470"/>
      <c r="W47" s="470"/>
      <c r="X47" s="470"/>
      <c r="Y47" s="470"/>
      <c r="Z47" s="302"/>
      <c r="AA47" s="302"/>
      <c r="AB47" s="302"/>
    </row>
    <row r="48" spans="1:28" ht="15">
      <c r="A48" s="959" t="s">
        <v>1445</v>
      </c>
      <c r="B48" s="304" t="s">
        <v>1406</v>
      </c>
      <c r="C48" s="469" t="s">
        <v>609</v>
      </c>
      <c r="D48" s="963">
        <v>1411500</v>
      </c>
      <c r="E48" s="605">
        <v>220300</v>
      </c>
      <c r="F48" s="605">
        <v>220300</v>
      </c>
      <c r="G48" s="605">
        <v>220300</v>
      </c>
      <c r="H48" s="605">
        <v>220300</v>
      </c>
      <c r="I48" s="605">
        <v>220300</v>
      </c>
      <c r="J48" s="605">
        <v>220300</v>
      </c>
      <c r="K48" s="605">
        <v>220300</v>
      </c>
      <c r="L48" s="605">
        <v>224200</v>
      </c>
      <c r="M48" s="605">
        <v>224200</v>
      </c>
      <c r="N48" s="605">
        <v>224200</v>
      </c>
      <c r="O48" s="605">
        <v>224200</v>
      </c>
      <c r="P48" s="605">
        <v>224200</v>
      </c>
      <c r="Q48" s="612">
        <f>SUBTOTAL(9,E48:P48)</f>
        <v>2663100</v>
      </c>
      <c r="R48" s="605"/>
      <c r="S48" s="605"/>
      <c r="T48" s="605"/>
      <c r="U48" s="605"/>
      <c r="V48" s="605"/>
      <c r="W48" s="605"/>
      <c r="X48" s="783"/>
      <c r="Y48" s="797">
        <f>+Q48+R48+S48+T48+U48+V48+W48+X48</f>
        <v>2663100</v>
      </c>
      <c r="Z48" s="596">
        <v>196410</v>
      </c>
      <c r="AA48" s="950" t="s">
        <v>1500</v>
      </c>
      <c r="AB48" s="983"/>
    </row>
    <row r="49" spans="1:28" ht="15">
      <c r="A49" s="959" t="s">
        <v>1784</v>
      </c>
      <c r="B49" s="304" t="s">
        <v>155</v>
      </c>
      <c r="C49" s="469" t="s">
        <v>609</v>
      </c>
      <c r="D49" s="966">
        <v>1421700</v>
      </c>
      <c r="E49" s="605">
        <v>170100</v>
      </c>
      <c r="F49" s="605">
        <v>170100</v>
      </c>
      <c r="G49" s="605">
        <v>170100</v>
      </c>
      <c r="H49" s="605">
        <v>170100</v>
      </c>
      <c r="I49" s="605">
        <v>170100</v>
      </c>
      <c r="J49" s="605">
        <v>170100</v>
      </c>
      <c r="K49" s="605">
        <v>170100</v>
      </c>
      <c r="L49" s="605">
        <v>170100</v>
      </c>
      <c r="M49" s="605">
        <v>170100</v>
      </c>
      <c r="N49" s="605">
        <v>170100</v>
      </c>
      <c r="O49" s="605">
        <v>170100</v>
      </c>
      <c r="P49" s="605">
        <v>170100</v>
      </c>
      <c r="Q49" s="612">
        <f>SUBTOTAL(9,E49:P49)</f>
        <v>2041200</v>
      </c>
      <c r="R49" s="605"/>
      <c r="S49" s="605"/>
      <c r="T49" s="605"/>
      <c r="U49" s="605"/>
      <c r="V49" s="605"/>
      <c r="W49" s="605">
        <f>P49*5</f>
        <v>850500</v>
      </c>
      <c r="X49" s="783"/>
      <c r="Y49" s="797">
        <f>+Q49+R49+S49+T49+U49+V49+W49+X49</f>
        <v>2891700</v>
      </c>
      <c r="Z49" s="596">
        <v>196410</v>
      </c>
      <c r="AA49" s="636" t="s">
        <v>601</v>
      </c>
      <c r="AB49" s="302"/>
    </row>
    <row r="50" spans="1:28" ht="15">
      <c r="A50" s="959" t="s">
        <v>1785</v>
      </c>
      <c r="B50" s="304" t="s">
        <v>156</v>
      </c>
      <c r="C50" s="469" t="s">
        <v>609</v>
      </c>
      <c r="D50" s="966">
        <v>1420900</v>
      </c>
      <c r="E50" s="605">
        <v>102400</v>
      </c>
      <c r="F50" s="605">
        <v>108000</v>
      </c>
      <c r="G50" s="605">
        <v>108000</v>
      </c>
      <c r="H50" s="605">
        <v>108000</v>
      </c>
      <c r="I50" s="605">
        <v>108000</v>
      </c>
      <c r="J50" s="605">
        <v>108000</v>
      </c>
      <c r="K50" s="605">
        <v>108000</v>
      </c>
      <c r="L50" s="605">
        <v>108000</v>
      </c>
      <c r="M50" s="605">
        <v>108000</v>
      </c>
      <c r="N50" s="605">
        <v>108000</v>
      </c>
      <c r="O50" s="605">
        <v>108000</v>
      </c>
      <c r="P50" s="605">
        <v>108000</v>
      </c>
      <c r="Q50" s="612">
        <f>SUBTOTAL(9,E50:P50)</f>
        <v>1290400</v>
      </c>
      <c r="R50" s="605"/>
      <c r="S50" s="605"/>
      <c r="T50" s="605"/>
      <c r="U50" s="605"/>
      <c r="V50" s="605"/>
      <c r="W50" s="605"/>
      <c r="X50" s="783"/>
      <c r="Y50" s="797">
        <f>+Q50+R50+S50+T50+U50+V50+W50+X50</f>
        <v>1290400</v>
      </c>
      <c r="Z50" s="596">
        <v>196410</v>
      </c>
      <c r="AA50" s="598" t="s">
        <v>1508</v>
      </c>
      <c r="AB50" s="302"/>
    </row>
    <row r="51" spans="1:28" ht="15">
      <c r="A51" s="959" t="s">
        <v>1794</v>
      </c>
      <c r="B51" s="304" t="s">
        <v>159</v>
      </c>
      <c r="C51" s="469" t="s">
        <v>609</v>
      </c>
      <c r="D51" s="966">
        <v>1421000</v>
      </c>
      <c r="E51" s="605">
        <v>102400</v>
      </c>
      <c r="F51" s="605">
        <v>108000</v>
      </c>
      <c r="G51" s="605">
        <v>108000</v>
      </c>
      <c r="H51" s="605">
        <v>108000</v>
      </c>
      <c r="I51" s="605">
        <v>108000</v>
      </c>
      <c r="J51" s="605">
        <v>108000</v>
      </c>
      <c r="K51" s="605">
        <v>108000</v>
      </c>
      <c r="L51" s="605">
        <v>108000</v>
      </c>
      <c r="M51" s="605">
        <v>108000</v>
      </c>
      <c r="N51" s="605">
        <v>108000</v>
      </c>
      <c r="O51" s="605">
        <v>108000</v>
      </c>
      <c r="P51" s="605">
        <v>108000</v>
      </c>
      <c r="Q51" s="612">
        <f>SUBTOTAL(9,E51:P51)</f>
        <v>1290400</v>
      </c>
      <c r="R51" s="605"/>
      <c r="S51" s="605"/>
      <c r="T51" s="605"/>
      <c r="U51" s="605"/>
      <c r="V51" s="605"/>
      <c r="W51" s="605"/>
      <c r="X51" s="783"/>
      <c r="Y51" s="797">
        <f>+Q51+R51+S51+T51+U51+V51+W51+X51</f>
        <v>1290400</v>
      </c>
      <c r="Z51" s="596">
        <v>196410</v>
      </c>
      <c r="AA51" s="600"/>
      <c r="AB51" s="302"/>
    </row>
    <row r="53" spans="25:26" ht="12.75">
      <c r="Y53" s="7">
        <f>SUM(Y48:Y52)</f>
        <v>8135600</v>
      </c>
      <c r="Z53" s="7">
        <f>ROUND(Y53,-3)/1000</f>
        <v>8136</v>
      </c>
    </row>
    <row r="54" ht="12.75">
      <c r="Z54" s="7">
        <f>ROUND(Y54,-3)/1000</f>
        <v>0</v>
      </c>
    </row>
    <row r="55" spans="25:26" ht="12.75">
      <c r="Y55" s="7">
        <f>Y53*0.27</f>
        <v>2196612</v>
      </c>
      <c r="Z55" s="7">
        <f>ROUND(Y55,-3)/1000</f>
        <v>2197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H39"/>
  <sheetViews>
    <sheetView view="pageBreakPreview" zoomScaleSheetLayoutView="100" zoomScalePageLayoutView="0" workbookViewId="0" topLeftCell="A1">
      <selection activeCell="D39" sqref="D39"/>
    </sheetView>
  </sheetViews>
  <sheetFormatPr defaultColWidth="9.140625" defaultRowHeight="12.75"/>
  <cols>
    <col min="1" max="1" width="41.8515625" style="0" customWidth="1"/>
    <col min="2" max="2" width="15.140625" style="0" customWidth="1"/>
    <col min="3" max="5" width="14.8515625" style="0" customWidth="1"/>
    <col min="6" max="6" width="18.57421875" style="7" customWidth="1"/>
  </cols>
  <sheetData>
    <row r="1" spans="1:5" ht="12.75">
      <c r="A1" s="24"/>
      <c r="B1" s="2387" t="s">
        <v>782</v>
      </c>
      <c r="C1" s="2387"/>
      <c r="D1" s="2387"/>
      <c r="E1" s="2387"/>
    </row>
    <row r="2" spans="1:5" ht="12.75">
      <c r="A2" s="24"/>
      <c r="B2" s="24"/>
      <c r="C2" s="24"/>
      <c r="D2" s="24"/>
      <c r="E2" s="24"/>
    </row>
    <row r="3" spans="1:5" ht="12.75">
      <c r="A3" s="2419" t="s">
        <v>1345</v>
      </c>
      <c r="B3" s="2419"/>
      <c r="C3" s="2419"/>
      <c r="D3" s="2419"/>
      <c r="E3" s="2419"/>
    </row>
    <row r="4" spans="1:5" ht="12.75">
      <c r="A4" s="255"/>
      <c r="B4" s="255"/>
      <c r="C4" s="255"/>
      <c r="D4" s="255"/>
      <c r="E4" s="255"/>
    </row>
    <row r="5" spans="1:5" ht="12.75">
      <c r="A5" s="255"/>
      <c r="B5" s="255"/>
      <c r="C5" s="255"/>
      <c r="D5" s="255"/>
      <c r="E5" s="255"/>
    </row>
    <row r="6" spans="1:5" ht="12.75">
      <c r="A6" s="255"/>
      <c r="B6" s="255"/>
      <c r="C6" s="255"/>
      <c r="D6" s="255"/>
      <c r="E6" s="255"/>
    </row>
    <row r="7" spans="1:6" ht="18" customHeight="1">
      <c r="A7" s="2369" t="s">
        <v>1363</v>
      </c>
      <c r="B7" s="2369"/>
      <c r="C7" s="2369"/>
      <c r="D7" s="2369"/>
      <c r="E7" s="2369"/>
      <c r="F7" s="405"/>
    </row>
    <row r="8" spans="1:6" ht="34.5" customHeight="1">
      <c r="A8" s="2369"/>
      <c r="B8" s="2369"/>
      <c r="C8" s="2369"/>
      <c r="D8" s="2369"/>
      <c r="E8" s="2369"/>
      <c r="F8" s="405"/>
    </row>
    <row r="9" spans="1:5" ht="18">
      <c r="A9" s="36"/>
      <c r="B9" s="36"/>
      <c r="C9" s="36"/>
      <c r="D9" s="36"/>
      <c r="E9" s="36"/>
    </row>
    <row r="10" spans="1:5" ht="12.75">
      <c r="A10" s="2341" t="s">
        <v>1371</v>
      </c>
      <c r="B10" s="2341"/>
      <c r="C10" s="2341"/>
      <c r="D10" s="2341"/>
      <c r="E10" s="2341"/>
    </row>
    <row r="11" spans="1:6" ht="15.75">
      <c r="A11" s="37" t="s">
        <v>1432</v>
      </c>
      <c r="B11" s="171" t="s">
        <v>1578</v>
      </c>
      <c r="C11" s="37" t="s">
        <v>1579</v>
      </c>
      <c r="D11" s="37" t="s">
        <v>822</v>
      </c>
      <c r="E11" s="37" t="s">
        <v>1353</v>
      </c>
      <c r="F11" s="2343"/>
    </row>
    <row r="12" spans="1:6" ht="15.75">
      <c r="A12" s="2336" t="s">
        <v>1580</v>
      </c>
      <c r="B12" s="2336"/>
      <c r="C12" s="2336"/>
      <c r="D12" s="37"/>
      <c r="E12" s="106"/>
      <c r="F12" s="2339"/>
    </row>
    <row r="13" spans="1:5" ht="12.75">
      <c r="A13" s="172" t="s">
        <v>1581</v>
      </c>
      <c r="B13" s="6">
        <f>'882111-Munkanélküli ellátások'!E25</f>
        <v>12960</v>
      </c>
      <c r="C13" s="6">
        <f>B13</f>
        <v>12960</v>
      </c>
      <c r="D13" s="13">
        <v>6674</v>
      </c>
      <c r="E13" s="2063">
        <f>D13/C13</f>
        <v>0.5149691358024692</v>
      </c>
    </row>
    <row r="14" spans="1:5" ht="12.75">
      <c r="A14" s="310" t="s">
        <v>1981</v>
      </c>
      <c r="B14" s="6">
        <f>'882111-Munkanélküli ellátások'!E27</f>
        <v>101232</v>
      </c>
      <c r="C14" s="6">
        <f aca="true" t="shared" si="0" ref="C14:C20">B14</f>
        <v>101232</v>
      </c>
      <c r="D14" s="13">
        <v>81425</v>
      </c>
      <c r="E14" s="2063">
        <f aca="true" t="shared" si="1" ref="E14:E21">D14/C14</f>
        <v>0.8043405247352616</v>
      </c>
    </row>
    <row r="15" spans="1:5" ht="12.75">
      <c r="A15" s="172" t="s">
        <v>1582</v>
      </c>
      <c r="B15" s="6">
        <f>'-Rendsz.szoc.pénz.ell.'!E22</f>
        <v>3010</v>
      </c>
      <c r="C15" s="6">
        <f t="shared" si="0"/>
        <v>3010</v>
      </c>
      <c r="D15" s="13">
        <v>1449</v>
      </c>
      <c r="E15" s="2063">
        <f t="shared" si="1"/>
        <v>0.4813953488372093</v>
      </c>
    </row>
    <row r="16" spans="1:5" ht="12.75">
      <c r="A16" s="172" t="s">
        <v>1583</v>
      </c>
      <c r="B16" s="6">
        <f>'882117-Rendsz.gyv.pénz.ell.'!E27</f>
        <v>5800</v>
      </c>
      <c r="C16" s="6">
        <f t="shared" si="0"/>
        <v>5800</v>
      </c>
      <c r="D16" s="13">
        <v>4652</v>
      </c>
      <c r="E16" s="2063">
        <f t="shared" si="1"/>
        <v>0.8020689655172414</v>
      </c>
    </row>
    <row r="17" spans="1:5" ht="12.75">
      <c r="A17" s="172" t="s">
        <v>1584</v>
      </c>
      <c r="B17" s="6">
        <f>'-Rendsz.szoc.pénz.ell.'!E24</f>
        <v>39000</v>
      </c>
      <c r="C17" s="6">
        <f t="shared" si="0"/>
        <v>39000</v>
      </c>
      <c r="D17" s="13">
        <v>14327</v>
      </c>
      <c r="E17" s="2063">
        <f t="shared" si="1"/>
        <v>0.36735897435897436</v>
      </c>
    </row>
    <row r="18" spans="1:5" ht="12.75">
      <c r="A18" s="310" t="s">
        <v>1075</v>
      </c>
      <c r="B18" s="6">
        <f>'-Rendsz.szoc.pénz.ell.'!E29+'-Rendsz.szoc.pénz.ell.'!E31</f>
        <v>21594</v>
      </c>
      <c r="C18" s="6">
        <f t="shared" si="0"/>
        <v>21594</v>
      </c>
      <c r="D18" s="13">
        <v>20786</v>
      </c>
      <c r="E18" s="2063">
        <f t="shared" si="1"/>
        <v>0.9625821987589145</v>
      </c>
    </row>
    <row r="19" spans="1:5" ht="12.75">
      <c r="A19" s="172" t="s">
        <v>1585</v>
      </c>
      <c r="B19" s="6">
        <f>'-Rendsz.szoc.pénz.ell.'!E33</f>
        <v>1699</v>
      </c>
      <c r="C19" s="6">
        <f t="shared" si="0"/>
        <v>1699</v>
      </c>
      <c r="D19" s="13">
        <v>0</v>
      </c>
      <c r="E19" s="2063">
        <f t="shared" si="1"/>
        <v>0</v>
      </c>
    </row>
    <row r="20" spans="1:5" ht="12.75">
      <c r="A20" s="172" t="s">
        <v>1586</v>
      </c>
      <c r="B20" s="6">
        <f>'882129-Öregek ebédje'!E27</f>
        <v>500</v>
      </c>
      <c r="C20" s="6">
        <f t="shared" si="0"/>
        <v>500</v>
      </c>
      <c r="D20" s="13">
        <v>0</v>
      </c>
      <c r="E20" s="2063">
        <f t="shared" si="1"/>
        <v>0</v>
      </c>
    </row>
    <row r="21" spans="1:6" s="9" customFormat="1" ht="12.75">
      <c r="A21" s="47" t="s">
        <v>1587</v>
      </c>
      <c r="B21" s="35">
        <f>SUM(B13:B20)</f>
        <v>185795</v>
      </c>
      <c r="C21" s="35">
        <f>SUM(C13:C20)</f>
        <v>185795</v>
      </c>
      <c r="D21" s="35">
        <f>SUM(D13:D20)</f>
        <v>129313</v>
      </c>
      <c r="E21" s="2035">
        <f t="shared" si="1"/>
        <v>0.6959982776716274</v>
      </c>
      <c r="F21" s="10"/>
    </row>
    <row r="22" spans="1:5" ht="18.75" customHeight="1">
      <c r="A22" s="2346"/>
      <c r="B22" s="2340"/>
      <c r="C22" s="2340"/>
      <c r="D22" s="2069"/>
      <c r="E22" s="2252"/>
    </row>
    <row r="23" spans="1:5" ht="12.75" hidden="1">
      <c r="A23" s="2336" t="s">
        <v>1588</v>
      </c>
      <c r="B23" s="2336"/>
      <c r="C23" s="2336"/>
      <c r="D23" s="13"/>
      <c r="E23" s="2063"/>
    </row>
    <row r="24" spans="1:7" s="9" customFormat="1" ht="19.5" customHeight="1">
      <c r="A24" s="256" t="s">
        <v>1076</v>
      </c>
      <c r="B24" s="50">
        <f>'-Rendsz.szoc.pénz.ell.'!E41</f>
        <v>0</v>
      </c>
      <c r="C24" s="35">
        <v>0</v>
      </c>
      <c r="D24" s="13">
        <v>443</v>
      </c>
      <c r="E24" s="2063">
        <v>0</v>
      </c>
      <c r="F24" s="10"/>
      <c r="G24" s="10"/>
    </row>
    <row r="25" spans="1:5" ht="12.75">
      <c r="A25" s="2346"/>
      <c r="B25" s="2340"/>
      <c r="C25" s="2340"/>
      <c r="D25" s="2069"/>
      <c r="E25" s="2252"/>
    </row>
    <row r="26" spans="1:6" ht="12" customHeight="1">
      <c r="A26" s="2336" t="s">
        <v>1589</v>
      </c>
      <c r="B26" s="2336"/>
      <c r="C26" s="2336"/>
      <c r="D26" s="13"/>
      <c r="E26" s="2063"/>
      <c r="F26" s="403"/>
    </row>
    <row r="27" spans="1:5" ht="15.75" customHeight="1">
      <c r="A27" s="310" t="s">
        <v>1881</v>
      </c>
      <c r="B27" s="670">
        <f>+'882119 - Óvodáztatási támogatás'!E6</f>
        <v>300</v>
      </c>
      <c r="C27" s="670">
        <f>B27</f>
        <v>300</v>
      </c>
      <c r="D27" s="13">
        <v>290</v>
      </c>
      <c r="E27" s="2063">
        <f>D27/C27</f>
        <v>0.9666666666666667</v>
      </c>
    </row>
    <row r="28" spans="1:5" ht="15.75" customHeight="1">
      <c r="A28" s="172" t="s">
        <v>1590</v>
      </c>
      <c r="B28" s="6">
        <f>'882124-Eseti pénz.gyv.ell'!E27</f>
        <v>3600</v>
      </c>
      <c r="C28" s="670">
        <f aca="true" t="shared" si="2" ref="C28:C35">B28</f>
        <v>3600</v>
      </c>
      <c r="D28" s="13">
        <v>1734</v>
      </c>
      <c r="E28" s="2063">
        <f aca="true" t="shared" si="3" ref="E28:E39">D28/C28</f>
        <v>0.4816666666666667</v>
      </c>
    </row>
    <row r="29" spans="1:5" ht="12" customHeight="1">
      <c r="A29" s="172" t="s">
        <v>1523</v>
      </c>
      <c r="B29" s="6">
        <f>'-Eseti pénz.szoc.ell.'!E28</f>
        <v>0</v>
      </c>
      <c r="C29" s="670">
        <f t="shared" si="2"/>
        <v>0</v>
      </c>
      <c r="D29" s="13">
        <v>0</v>
      </c>
      <c r="E29" s="2063"/>
    </row>
    <row r="30" spans="1:5" ht="15" customHeight="1">
      <c r="A30" s="172" t="s">
        <v>1525</v>
      </c>
      <c r="B30" s="6">
        <f>'-Eseti pénz.szoc.ell.'!E40</f>
        <v>2883</v>
      </c>
      <c r="C30" s="670">
        <f t="shared" si="2"/>
        <v>2883</v>
      </c>
      <c r="D30" s="13">
        <v>0</v>
      </c>
      <c r="E30" s="2063">
        <f t="shared" si="3"/>
        <v>0</v>
      </c>
    </row>
    <row r="31" spans="1:5" ht="15" customHeight="1">
      <c r="A31" s="172" t="s">
        <v>176</v>
      </c>
      <c r="B31" s="6">
        <f>'-Eseti pénz.szoc.ell.'!E30</f>
        <v>2700</v>
      </c>
      <c r="C31" s="670">
        <f t="shared" si="2"/>
        <v>2700</v>
      </c>
      <c r="D31" s="13">
        <v>1534</v>
      </c>
      <c r="E31" s="2063">
        <f t="shared" si="3"/>
        <v>0.5681481481481482</v>
      </c>
    </row>
    <row r="32" spans="1:5" ht="15.75" customHeight="1">
      <c r="A32" s="172" t="s">
        <v>177</v>
      </c>
      <c r="B32" s="6">
        <f>'-Eseti pénz.szoc.ell.'!E32</f>
        <v>0</v>
      </c>
      <c r="C32" s="670">
        <f t="shared" si="2"/>
        <v>0</v>
      </c>
      <c r="D32" s="13">
        <v>1013</v>
      </c>
      <c r="E32" s="2063">
        <v>0</v>
      </c>
    </row>
    <row r="33" spans="1:5" ht="18" customHeight="1">
      <c r="A33" s="172" t="s">
        <v>1380</v>
      </c>
      <c r="B33" s="6">
        <f>'-Eseti pénz.szoc.ell.'!E34</f>
        <v>650</v>
      </c>
      <c r="C33" s="670">
        <f t="shared" si="2"/>
        <v>650</v>
      </c>
      <c r="D33" s="13">
        <v>0</v>
      </c>
      <c r="E33" s="2063">
        <f t="shared" si="3"/>
        <v>0</v>
      </c>
    </row>
    <row r="34" spans="1:5" ht="15.75" customHeight="1">
      <c r="A34" s="172" t="s">
        <v>178</v>
      </c>
      <c r="B34" s="6">
        <f>'-Eseti pénz.szoc.ell.'!E36</f>
        <v>400</v>
      </c>
      <c r="C34" s="670">
        <f t="shared" si="2"/>
        <v>400</v>
      </c>
      <c r="D34" s="13">
        <v>161</v>
      </c>
      <c r="E34" s="2063">
        <f t="shared" si="3"/>
        <v>0.4025</v>
      </c>
    </row>
    <row r="35" spans="1:8" ht="12.75">
      <c r="A35" s="172" t="s">
        <v>1591</v>
      </c>
      <c r="B35" s="6">
        <f>'-Eseti pénz.szoc.ell.'!E38</f>
        <v>880</v>
      </c>
      <c r="C35" s="670">
        <f t="shared" si="2"/>
        <v>880</v>
      </c>
      <c r="D35" s="13">
        <v>2773</v>
      </c>
      <c r="E35" s="2063">
        <f t="shared" si="3"/>
        <v>3.151136363636364</v>
      </c>
      <c r="H35" s="7"/>
    </row>
    <row r="36" spans="1:6" s="9" customFormat="1" ht="12.75">
      <c r="A36" s="47" t="s">
        <v>1592</v>
      </c>
      <c r="B36" s="35">
        <f>SUM(B27:B35)</f>
        <v>11413</v>
      </c>
      <c r="C36" s="35">
        <f>SUM(C27:C35)</f>
        <v>11413</v>
      </c>
      <c r="D36" s="35">
        <f>SUM(D27:D35)</f>
        <v>7505</v>
      </c>
      <c r="E36" s="2063">
        <f t="shared" si="3"/>
        <v>0.6575834574607903</v>
      </c>
      <c r="F36" s="10"/>
    </row>
    <row r="37" spans="1:6" s="9" customFormat="1" ht="12.75">
      <c r="A37" s="47"/>
      <c r="B37" s="35"/>
      <c r="C37" s="35"/>
      <c r="D37" s="13"/>
      <c r="E37" s="2063"/>
      <c r="F37" s="404"/>
    </row>
    <row r="38" spans="1:5" ht="12.75">
      <c r="A38" s="2342"/>
      <c r="B38" s="2342"/>
      <c r="C38" s="2342"/>
      <c r="D38" s="13"/>
      <c r="E38" s="2063"/>
    </row>
    <row r="39" spans="1:5" ht="31.5" customHeight="1">
      <c r="A39" s="402" t="s">
        <v>1593</v>
      </c>
      <c r="B39" s="182">
        <f>B21+B24+B36</f>
        <v>197208</v>
      </c>
      <c r="C39" s="182">
        <f>SUM(C13:C19)+SUM(C24)+SUM(C28:C35)</f>
        <v>196408</v>
      </c>
      <c r="D39" s="182">
        <f>D21+D24+D36</f>
        <v>137261</v>
      </c>
      <c r="E39" s="2288">
        <f t="shared" si="3"/>
        <v>0.698856462058572</v>
      </c>
    </row>
  </sheetData>
  <sheetProtection/>
  <mergeCells count="11">
    <mergeCell ref="B1:E1"/>
    <mergeCell ref="A3:E3"/>
    <mergeCell ref="A7:E8"/>
    <mergeCell ref="A12:C12"/>
    <mergeCell ref="A22:C22"/>
    <mergeCell ref="A10:E10"/>
    <mergeCell ref="A38:C38"/>
    <mergeCell ref="F11:F12"/>
    <mergeCell ref="A25:C25"/>
    <mergeCell ref="A26:C26"/>
    <mergeCell ref="A23:C2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10"/>
  </sheetPr>
  <dimension ref="A1:F60"/>
  <sheetViews>
    <sheetView zoomScalePageLayoutView="0" workbookViewId="0" topLeftCell="A1">
      <selection activeCell="H58" sqref="H58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36.28125" style="0" customWidth="1"/>
    <col min="4" max="4" width="7.57421875" style="0" bestFit="1" customWidth="1"/>
    <col min="6" max="6" width="11.8515625" style="0" customWidth="1"/>
  </cols>
  <sheetData>
    <row r="1" spans="1:6" ht="24">
      <c r="A1" s="2603" t="s">
        <v>163</v>
      </c>
      <c r="B1" s="2604"/>
      <c r="C1" s="2607" t="s">
        <v>818</v>
      </c>
      <c r="D1" s="2607"/>
      <c r="E1" s="2608"/>
      <c r="F1" s="1032" t="s">
        <v>819</v>
      </c>
    </row>
    <row r="2" spans="1:6" ht="12.75">
      <c r="A2" s="2605"/>
      <c r="B2" s="2606"/>
      <c r="C2" s="2609"/>
      <c r="D2" s="2609"/>
      <c r="E2" s="2610"/>
      <c r="F2" s="1035" t="s">
        <v>1889</v>
      </c>
    </row>
    <row r="3" spans="1:6" ht="21" thickBot="1">
      <c r="A3" s="2616" t="s">
        <v>820</v>
      </c>
      <c r="B3" s="2617"/>
      <c r="C3" s="2617"/>
      <c r="D3" s="2617"/>
      <c r="E3" s="2617"/>
      <c r="F3" s="2618"/>
    </row>
    <row r="4" spans="1:6" ht="12.75">
      <c r="A4" s="1038" t="s">
        <v>821</v>
      </c>
      <c r="B4" s="1039" t="s">
        <v>822</v>
      </c>
      <c r="C4" s="2591" t="s">
        <v>511</v>
      </c>
      <c r="D4" s="2592"/>
      <c r="E4" s="2592"/>
      <c r="F4" s="1040"/>
    </row>
    <row r="5" spans="1:6" ht="13.5" thickBot="1">
      <c r="A5" s="1100">
        <v>51</v>
      </c>
      <c r="B5" s="1101"/>
      <c r="C5" s="2637" t="s">
        <v>242</v>
      </c>
      <c r="D5" s="2638"/>
      <c r="E5" s="1102"/>
      <c r="F5" s="1103"/>
    </row>
    <row r="6" spans="1:6" ht="12.75">
      <c r="A6" s="2614">
        <v>511112</v>
      </c>
      <c r="B6" s="2625">
        <v>511212</v>
      </c>
      <c r="C6" s="1045" t="s">
        <v>823</v>
      </c>
      <c r="D6" s="1046">
        <f>'Bérek könyvtár'!H18</f>
        <v>225100</v>
      </c>
      <c r="E6" s="1047">
        <f>D6*11</f>
        <v>2476100</v>
      </c>
      <c r="F6" s="2632">
        <f>ROUND(SUM(E6:E7)/1000,4)</f>
        <v>2701.2</v>
      </c>
    </row>
    <row r="7" spans="1:6" ht="13.5" thickBot="1">
      <c r="A7" s="2615"/>
      <c r="B7" s="2626"/>
      <c r="C7" s="2629" t="s">
        <v>824</v>
      </c>
      <c r="D7" s="2630"/>
      <c r="E7" s="1104">
        <f>'Bérek könyvtár'!F18</f>
        <v>225100</v>
      </c>
      <c r="F7" s="2633"/>
    </row>
    <row r="8" spans="1:6" ht="12.75">
      <c r="A8" s="2614">
        <v>511112</v>
      </c>
      <c r="B8" s="2625">
        <v>511212</v>
      </c>
      <c r="C8" s="1045" t="s">
        <v>825</v>
      </c>
      <c r="D8" s="1046">
        <f>'Bérek könyvtár'!H19</f>
        <v>126300</v>
      </c>
      <c r="E8" s="1047">
        <f>D8*11</f>
        <v>1389300</v>
      </c>
      <c r="F8" s="2632">
        <f>ROUND(SUM(E8:E9)/1000,4)</f>
        <v>1515.6</v>
      </c>
    </row>
    <row r="9" spans="1:6" ht="13.5" thickBot="1">
      <c r="A9" s="2615"/>
      <c r="B9" s="2626"/>
      <c r="C9" s="2629" t="s">
        <v>824</v>
      </c>
      <c r="D9" s="2630"/>
      <c r="E9" s="1104">
        <f>'Bérek könyvtár'!F19</f>
        <v>126300</v>
      </c>
      <c r="F9" s="2633"/>
    </row>
    <row r="10" spans="1:6" ht="12.75">
      <c r="A10" s="2634">
        <v>511112</v>
      </c>
      <c r="B10" s="2635">
        <v>511212</v>
      </c>
      <c r="C10" s="1105" t="s">
        <v>826</v>
      </c>
      <c r="D10" s="1106">
        <f>'Bérek könyvtár'!H20</f>
        <v>196100</v>
      </c>
      <c r="E10" s="1107">
        <f>D10*11</f>
        <v>2157100</v>
      </c>
      <c r="F10" s="2636">
        <f>ROUND(SUM(E10:E11)/1000,4)</f>
        <v>2353.2</v>
      </c>
    </row>
    <row r="11" spans="1:6" ht="13.5" thickBot="1">
      <c r="A11" s="2615"/>
      <c r="B11" s="2626"/>
      <c r="C11" s="2629" t="s">
        <v>824</v>
      </c>
      <c r="D11" s="2630"/>
      <c r="E11" s="1108">
        <f>'Bérek könyvtár'!F20</f>
        <v>196100</v>
      </c>
      <c r="F11" s="2633"/>
    </row>
    <row r="12" spans="1:6" ht="12.75">
      <c r="A12" s="2614">
        <v>511112</v>
      </c>
      <c r="B12" s="2625">
        <v>511212</v>
      </c>
      <c r="C12" s="1045" t="s">
        <v>827</v>
      </c>
      <c r="D12" s="1046">
        <f>'Bérek könyvtár'!H21</f>
        <v>130800</v>
      </c>
      <c r="E12" s="1047">
        <f>D12*11</f>
        <v>1438800</v>
      </c>
      <c r="F12" s="2632">
        <f>ROUND(SUM(E12:E13)/1000,4)</f>
        <v>1569.6</v>
      </c>
    </row>
    <row r="13" spans="1:6" ht="13.5" thickBot="1">
      <c r="A13" s="2615"/>
      <c r="B13" s="2626"/>
      <c r="C13" s="2629" t="s">
        <v>824</v>
      </c>
      <c r="D13" s="2630"/>
      <c r="E13" s="1108">
        <f>'Bérek könyvtár'!F21</f>
        <v>130800</v>
      </c>
      <c r="F13" s="2633"/>
    </row>
    <row r="14" spans="1:6" ht="13.5" thickBot="1">
      <c r="A14" s="1110">
        <v>511112</v>
      </c>
      <c r="B14" s="1111"/>
      <c r="C14" s="2611" t="s">
        <v>828</v>
      </c>
      <c r="D14" s="2612"/>
      <c r="E14" s="2613"/>
      <c r="F14" s="1112">
        <f>F6+F8+F10+F12</f>
        <v>8139.5999999999985</v>
      </c>
    </row>
    <row r="15" spans="1:6" ht="12.75">
      <c r="A15" s="2623">
        <v>511142</v>
      </c>
      <c r="B15" s="2625">
        <v>511242</v>
      </c>
      <c r="C15" s="2631" t="s">
        <v>829</v>
      </c>
      <c r="D15" s="2631"/>
      <c r="E15" s="1051"/>
      <c r="F15" s="2627">
        <f>ROUND(E16/1000,3)</f>
        <v>540</v>
      </c>
    </row>
    <row r="16" spans="1:6" ht="13.5" thickBot="1">
      <c r="A16" s="2624"/>
      <c r="B16" s="2626"/>
      <c r="C16" s="1114" t="s">
        <v>830</v>
      </c>
      <c r="D16" s="1115">
        <f>'Bérek könyvtár'!M18</f>
        <v>45000</v>
      </c>
      <c r="E16" s="1116">
        <f>D16*12</f>
        <v>540000</v>
      </c>
      <c r="F16" s="2628"/>
    </row>
    <row r="17" spans="1:6" ht="12.75">
      <c r="A17" s="1056">
        <v>513132</v>
      </c>
      <c r="B17" s="1057">
        <v>513232</v>
      </c>
      <c r="C17" s="2590" t="s">
        <v>831</v>
      </c>
      <c r="D17" s="2590"/>
      <c r="E17" s="2619"/>
      <c r="F17" s="1059">
        <v>3</v>
      </c>
    </row>
    <row r="18" spans="1:6" ht="12.75">
      <c r="A18" s="1056">
        <v>514132</v>
      </c>
      <c r="B18" s="1057">
        <v>514232</v>
      </c>
      <c r="C18" s="2590" t="s">
        <v>832</v>
      </c>
      <c r="D18" s="2590"/>
      <c r="E18" s="2619"/>
      <c r="F18" s="1059">
        <v>120</v>
      </c>
    </row>
    <row r="19" spans="1:6" ht="13.5" thickBot="1">
      <c r="A19" s="1060">
        <v>51317</v>
      </c>
      <c r="B19" s="1118">
        <v>51327</v>
      </c>
      <c r="C19" s="2620" t="s">
        <v>833</v>
      </c>
      <c r="D19" s="2621"/>
      <c r="E19" s="2622"/>
      <c r="F19" s="1119">
        <v>0</v>
      </c>
    </row>
    <row r="20" spans="1:6" ht="13.5" thickBot="1">
      <c r="A20" s="1120"/>
      <c r="B20" s="1121"/>
      <c r="C20" s="1122" t="s">
        <v>834</v>
      </c>
      <c r="D20" s="1123"/>
      <c r="E20" s="1124"/>
      <c r="F20" s="1125"/>
    </row>
    <row r="21" spans="1:6" ht="12.75">
      <c r="A21" s="2623">
        <v>516112</v>
      </c>
      <c r="B21" s="2625">
        <v>516212</v>
      </c>
      <c r="C21" s="1045" t="s">
        <v>835</v>
      </c>
      <c r="D21" s="1046">
        <f>'Bérek könyvtár'!H22</f>
        <v>71800</v>
      </c>
      <c r="E21" s="1047">
        <f>D21*11</f>
        <v>789800</v>
      </c>
      <c r="F21" s="2627">
        <f>ROUND(SUM(E21:E22)/1000,4)</f>
        <v>861.6</v>
      </c>
    </row>
    <row r="22" spans="1:6" ht="13.5" thickBot="1">
      <c r="A22" s="2624"/>
      <c r="B22" s="2626"/>
      <c r="C22" s="2629" t="s">
        <v>824</v>
      </c>
      <c r="D22" s="2630"/>
      <c r="E22" s="1108">
        <f>'Bérek könyvtár'!F22</f>
        <v>71800</v>
      </c>
      <c r="F22" s="2628"/>
    </row>
    <row r="23" spans="1:6" ht="18.75" thickBot="1">
      <c r="A23" s="1126" t="s">
        <v>164</v>
      </c>
      <c r="B23" s="2600" t="s">
        <v>836</v>
      </c>
      <c r="C23" s="2601"/>
      <c r="D23" s="2601"/>
      <c r="E23" s="2602"/>
      <c r="F23" s="1127">
        <f>F14+F15+F17+F18+F19+F21</f>
        <v>9664.199999999999</v>
      </c>
    </row>
    <row r="24" spans="1:6" ht="16.5" thickBot="1">
      <c r="A24" s="2599" t="s">
        <v>837</v>
      </c>
      <c r="B24" s="2599"/>
      <c r="C24" s="2599"/>
      <c r="D24" s="2599"/>
      <c r="E24" s="2599"/>
      <c r="F24" s="2599"/>
    </row>
    <row r="25" spans="1:6" ht="12.75">
      <c r="A25" s="1068">
        <v>53112</v>
      </c>
      <c r="B25" s="1069">
        <v>53122</v>
      </c>
      <c r="C25" s="1070" t="s">
        <v>838</v>
      </c>
      <c r="D25" s="1071">
        <f>F23-F17-F18</f>
        <v>9541.199999999999</v>
      </c>
      <c r="E25" s="1072" t="s">
        <v>839</v>
      </c>
      <c r="F25" s="1073">
        <f>D25*0.27</f>
        <v>2576.124</v>
      </c>
    </row>
    <row r="26" spans="1:6" ht="18.75" thickBot="1">
      <c r="A26" s="1126">
        <v>53</v>
      </c>
      <c r="B26" s="2600" t="s">
        <v>840</v>
      </c>
      <c r="C26" s="2601"/>
      <c r="D26" s="2601"/>
      <c r="E26" s="2602"/>
      <c r="F26" s="1065">
        <f>SUM(F25:F25)</f>
        <v>2576.124</v>
      </c>
    </row>
    <row r="27" spans="1:6" ht="24">
      <c r="A27" s="2603" t="s">
        <v>163</v>
      </c>
      <c r="B27" s="2604"/>
      <c r="C27" s="2607" t="s">
        <v>818</v>
      </c>
      <c r="D27" s="2607"/>
      <c r="E27" s="2608"/>
      <c r="F27" s="1032" t="s">
        <v>819</v>
      </c>
    </row>
    <row r="28" spans="1:6" ht="12.75">
      <c r="A28" s="2605"/>
      <c r="B28" s="2606"/>
      <c r="C28" s="2609"/>
      <c r="D28" s="2609"/>
      <c r="E28" s="2610"/>
      <c r="F28" s="1035" t="s">
        <v>1889</v>
      </c>
    </row>
    <row r="29" spans="1:6" ht="21" thickBot="1">
      <c r="A29" s="2616" t="s">
        <v>820</v>
      </c>
      <c r="B29" s="2617"/>
      <c r="C29" s="2617"/>
      <c r="D29" s="2617"/>
      <c r="E29" s="2617"/>
      <c r="F29" s="2618"/>
    </row>
    <row r="30" spans="1:6" ht="12.75">
      <c r="A30" s="1038" t="s">
        <v>821</v>
      </c>
      <c r="B30" s="1039" t="s">
        <v>822</v>
      </c>
      <c r="C30" s="2591" t="s">
        <v>511</v>
      </c>
      <c r="D30" s="2592"/>
      <c r="E30" s="2592"/>
      <c r="F30" s="1040"/>
    </row>
    <row r="31" spans="1:6" ht="13.5" thickBot="1">
      <c r="A31" s="1041" t="s">
        <v>841</v>
      </c>
      <c r="B31" s="1042"/>
      <c r="C31" s="2593" t="s">
        <v>842</v>
      </c>
      <c r="D31" s="2594"/>
      <c r="E31" s="2595"/>
      <c r="F31" s="1044"/>
    </row>
    <row r="32" spans="1:6" ht="12.75">
      <c r="A32" s="1068">
        <v>5431</v>
      </c>
      <c r="B32" s="1069">
        <v>5432</v>
      </c>
      <c r="C32" s="2596" t="s">
        <v>1472</v>
      </c>
      <c r="D32" s="2597"/>
      <c r="E32" s="2598"/>
      <c r="F32" s="1079">
        <v>50</v>
      </c>
    </row>
    <row r="33" spans="1:6" ht="12.75">
      <c r="A33" s="1080">
        <v>54411</v>
      </c>
      <c r="B33" s="1081">
        <v>54421</v>
      </c>
      <c r="C33" s="2570" t="s">
        <v>843</v>
      </c>
      <c r="D33" s="2571"/>
      <c r="E33" s="2586"/>
      <c r="F33" s="1082">
        <v>1700</v>
      </c>
    </row>
    <row r="34" spans="1:6" ht="12.75">
      <c r="A34" s="1080">
        <v>54412</v>
      </c>
      <c r="B34" s="1081">
        <v>54422</v>
      </c>
      <c r="C34" s="2570" t="s">
        <v>844</v>
      </c>
      <c r="D34" s="2571"/>
      <c r="E34" s="2586"/>
      <c r="F34" s="1082">
        <v>450</v>
      </c>
    </row>
    <row r="35" spans="1:6" ht="12.75">
      <c r="A35" s="1080">
        <v>54711</v>
      </c>
      <c r="B35" s="1081">
        <v>54721</v>
      </c>
      <c r="C35" s="2570" t="s">
        <v>845</v>
      </c>
      <c r="D35" s="2571"/>
      <c r="E35" s="2572"/>
      <c r="F35" s="1082">
        <v>40</v>
      </c>
    </row>
    <row r="36" spans="1:6" ht="12.75">
      <c r="A36" s="1080">
        <v>54712</v>
      </c>
      <c r="B36" s="1081">
        <v>54722</v>
      </c>
      <c r="C36" s="2570" t="s">
        <v>846</v>
      </c>
      <c r="D36" s="2571"/>
      <c r="E36" s="2572"/>
      <c r="F36" s="1082">
        <v>30</v>
      </c>
    </row>
    <row r="37" spans="1:6" ht="12.75">
      <c r="A37" s="1080">
        <v>5491</v>
      </c>
      <c r="B37" s="1081">
        <v>5492</v>
      </c>
      <c r="C37" s="2570" t="s">
        <v>847</v>
      </c>
      <c r="D37" s="2571"/>
      <c r="E37" s="2572"/>
      <c r="F37" s="1082">
        <v>150</v>
      </c>
    </row>
    <row r="38" spans="1:6" ht="12.75">
      <c r="A38" s="2588"/>
      <c r="B38" s="2589"/>
      <c r="C38" s="2587" t="s">
        <v>848</v>
      </c>
      <c r="D38" s="2585"/>
      <c r="E38" s="2585"/>
      <c r="F38" s="1084">
        <f>SUM(F32:F37)</f>
        <v>2420</v>
      </c>
    </row>
    <row r="39" spans="1:6" ht="12.75">
      <c r="A39" s="1080">
        <v>55111</v>
      </c>
      <c r="B39" s="1081">
        <v>55121</v>
      </c>
      <c r="C39" s="2570" t="s">
        <v>849</v>
      </c>
      <c r="D39" s="2571"/>
      <c r="E39" s="2572"/>
      <c r="F39" s="1082">
        <v>170</v>
      </c>
    </row>
    <row r="40" spans="1:6" ht="12.75">
      <c r="A40" s="1080">
        <v>55119</v>
      </c>
      <c r="B40" s="1081">
        <v>55129</v>
      </c>
      <c r="C40" s="2570" t="s">
        <v>850</v>
      </c>
      <c r="D40" s="2571"/>
      <c r="E40" s="2572"/>
      <c r="F40" s="1082">
        <v>166</v>
      </c>
    </row>
    <row r="41" spans="1:6" ht="12.75">
      <c r="A41" s="1080">
        <v>552121</v>
      </c>
      <c r="B41" s="1081">
        <v>552221</v>
      </c>
      <c r="C41" s="2570" t="s">
        <v>645</v>
      </c>
      <c r="D41" s="2571"/>
      <c r="E41" s="2572"/>
      <c r="F41" s="1082">
        <v>235</v>
      </c>
    </row>
    <row r="42" spans="1:6" ht="12.75">
      <c r="A42" s="1080">
        <v>55214</v>
      </c>
      <c r="B42" s="1081">
        <v>55224</v>
      </c>
      <c r="C42" s="2570" t="s">
        <v>851</v>
      </c>
      <c r="D42" s="2571"/>
      <c r="E42" s="2586"/>
      <c r="F42" s="1082">
        <v>1000</v>
      </c>
    </row>
    <row r="43" spans="1:6" ht="12.75">
      <c r="A43" s="1080">
        <v>55215</v>
      </c>
      <c r="B43" s="1081">
        <v>55225</v>
      </c>
      <c r="C43" s="2570" t="s">
        <v>852</v>
      </c>
      <c r="D43" s="2571"/>
      <c r="E43" s="2586"/>
      <c r="F43" s="1082">
        <v>600</v>
      </c>
    </row>
    <row r="44" spans="1:6" ht="12.75">
      <c r="A44" s="1080">
        <v>55217</v>
      </c>
      <c r="B44" s="1081">
        <v>55227</v>
      </c>
      <c r="C44" s="2570" t="s">
        <v>853</v>
      </c>
      <c r="D44" s="2571"/>
      <c r="E44" s="2572"/>
      <c r="F44" s="1082">
        <v>60</v>
      </c>
    </row>
    <row r="45" spans="1:6" ht="12.75">
      <c r="A45" s="1080">
        <v>55218</v>
      </c>
      <c r="B45" s="1081">
        <v>55228</v>
      </c>
      <c r="C45" s="2570" t="s">
        <v>854</v>
      </c>
      <c r="D45" s="2571"/>
      <c r="E45" s="2572"/>
      <c r="F45" s="1082">
        <v>162</v>
      </c>
    </row>
    <row r="46" spans="1:6" ht="12.75">
      <c r="A46" s="1080">
        <v>55219</v>
      </c>
      <c r="B46" s="1081">
        <v>55229</v>
      </c>
      <c r="C46" s="2570" t="s">
        <v>855</v>
      </c>
      <c r="D46" s="2571"/>
      <c r="E46" s="2572"/>
      <c r="F46" s="1082">
        <v>170</v>
      </c>
    </row>
    <row r="47" spans="1:6" ht="12.75">
      <c r="A47" s="1080"/>
      <c r="B47" s="1081"/>
      <c r="C47" s="2570" t="s">
        <v>856</v>
      </c>
      <c r="D47" s="2571"/>
      <c r="E47" s="2572"/>
      <c r="F47" s="1082">
        <v>20</v>
      </c>
    </row>
    <row r="48" spans="1:6" ht="12.75">
      <c r="A48" s="1080">
        <v>5531</v>
      </c>
      <c r="B48" s="1081">
        <v>5532</v>
      </c>
      <c r="C48" s="2570" t="s">
        <v>857</v>
      </c>
      <c r="D48" s="2571"/>
      <c r="E48" s="2572"/>
      <c r="F48" s="1082">
        <v>51</v>
      </c>
    </row>
    <row r="49" spans="1:6" ht="12.75">
      <c r="A49" s="2588"/>
      <c r="B49" s="2589"/>
      <c r="C49" s="2587" t="s">
        <v>858</v>
      </c>
      <c r="D49" s="2585"/>
      <c r="E49" s="2585"/>
      <c r="F49" s="1084">
        <f>SUM(F39:F48)</f>
        <v>2634</v>
      </c>
    </row>
    <row r="50" spans="1:6" ht="12.75">
      <c r="A50" s="1086">
        <v>56111</v>
      </c>
      <c r="B50" s="1081">
        <v>56121</v>
      </c>
      <c r="C50" s="2590" t="s">
        <v>859</v>
      </c>
      <c r="D50" s="2585"/>
      <c r="E50" s="1087">
        <v>0.05</v>
      </c>
      <c r="F50" s="1088"/>
    </row>
    <row r="51" spans="1:6" ht="12.75">
      <c r="A51" s="1086">
        <v>56112</v>
      </c>
      <c r="B51" s="1081">
        <v>56122</v>
      </c>
      <c r="C51" s="2585"/>
      <c r="D51" s="2585"/>
      <c r="E51" s="1087">
        <v>0.27</v>
      </c>
      <c r="F51" s="1088">
        <f>SUM(F32,F34:F37,F39:F48)*0.27</f>
        <v>905.58</v>
      </c>
    </row>
    <row r="52" spans="1:6" ht="12.75">
      <c r="A52" s="1080">
        <v>56114</v>
      </c>
      <c r="B52" s="1081">
        <v>56124</v>
      </c>
      <c r="C52" s="2584" t="s">
        <v>860</v>
      </c>
      <c r="D52" s="2585"/>
      <c r="E52" s="1087">
        <v>0.05</v>
      </c>
      <c r="F52" s="1088">
        <f>F33*0.05</f>
        <v>85</v>
      </c>
    </row>
    <row r="53" spans="1:6" ht="12.75">
      <c r="A53" s="1080">
        <v>56211</v>
      </c>
      <c r="B53" s="1081">
        <v>56221</v>
      </c>
      <c r="C53" s="2570" t="s">
        <v>1400</v>
      </c>
      <c r="D53" s="2571"/>
      <c r="E53" s="2572"/>
      <c r="F53" s="1088">
        <v>15</v>
      </c>
    </row>
    <row r="54" spans="1:6" ht="12.75">
      <c r="A54" s="1080">
        <v>56213</v>
      </c>
      <c r="B54" s="1081">
        <v>56223</v>
      </c>
      <c r="C54" s="2570" t="s">
        <v>1401</v>
      </c>
      <c r="D54" s="2571"/>
      <c r="E54" s="2572"/>
      <c r="F54" s="1088">
        <v>0</v>
      </c>
    </row>
    <row r="55" spans="1:6" ht="12.75">
      <c r="A55" s="1080">
        <v>56214</v>
      </c>
      <c r="B55" s="1081">
        <v>56224</v>
      </c>
      <c r="C55" s="2570" t="s">
        <v>861</v>
      </c>
      <c r="D55" s="2571"/>
      <c r="E55" s="2572"/>
      <c r="F55" s="1088">
        <v>0</v>
      </c>
    </row>
    <row r="56" spans="1:6" ht="12.75">
      <c r="A56" s="1090">
        <v>57119</v>
      </c>
      <c r="B56" s="1091">
        <v>57129</v>
      </c>
      <c r="C56" s="2576" t="s">
        <v>862</v>
      </c>
      <c r="D56" s="2577"/>
      <c r="E56" s="2578"/>
      <c r="F56" s="1092">
        <v>0</v>
      </c>
    </row>
    <row r="57" spans="1:6" ht="13.5" thickBot="1">
      <c r="A57" s="2579"/>
      <c r="B57" s="2580"/>
      <c r="C57" s="2581" t="s">
        <v>863</v>
      </c>
      <c r="D57" s="2582"/>
      <c r="E57" s="2582"/>
      <c r="F57" s="1129">
        <f>SUM(F50:F56)</f>
        <v>1005.58</v>
      </c>
    </row>
    <row r="58" spans="1:6" ht="18.75" thickBot="1">
      <c r="A58" s="1130" t="s">
        <v>841</v>
      </c>
      <c r="B58" s="2583" t="s">
        <v>864</v>
      </c>
      <c r="C58" s="2583"/>
      <c r="D58" s="2583"/>
      <c r="E58" s="2583"/>
      <c r="F58" s="1065">
        <f>SUM(F57,F49,F38)</f>
        <v>6059.58</v>
      </c>
    </row>
    <row r="59" spans="1:6" ht="23.25">
      <c r="A59" s="2573" t="s">
        <v>865</v>
      </c>
      <c r="B59" s="2573"/>
      <c r="C59" s="2573"/>
      <c r="D59" s="2573"/>
      <c r="E59" s="2573"/>
      <c r="F59" s="1132">
        <f>SUM(F58,F26,F23)</f>
        <v>18299.904</v>
      </c>
    </row>
    <row r="60" spans="1:6" ht="15.75">
      <c r="A60" s="2574"/>
      <c r="B60" s="2575"/>
      <c r="C60" s="2575"/>
      <c r="D60" s="2575"/>
      <c r="E60" s="2575"/>
      <c r="F60" s="1134"/>
    </row>
  </sheetData>
  <sheetProtection/>
  <mergeCells count="72">
    <mergeCell ref="F6:F7"/>
    <mergeCell ref="C7:D7"/>
    <mergeCell ref="A1:B2"/>
    <mergeCell ref="C1:E2"/>
    <mergeCell ref="A3:F3"/>
    <mergeCell ref="C4:E4"/>
    <mergeCell ref="C5:D5"/>
    <mergeCell ref="A6:A7"/>
    <mergeCell ref="B6:B7"/>
    <mergeCell ref="A10:A11"/>
    <mergeCell ref="B10:B11"/>
    <mergeCell ref="B12:B13"/>
    <mergeCell ref="F10:F11"/>
    <mergeCell ref="C11:D11"/>
    <mergeCell ref="F12:F13"/>
    <mergeCell ref="C13:D13"/>
    <mergeCell ref="A8:A9"/>
    <mergeCell ref="B8:B9"/>
    <mergeCell ref="F8:F9"/>
    <mergeCell ref="C9:D9"/>
    <mergeCell ref="A15:A16"/>
    <mergeCell ref="B15:B16"/>
    <mergeCell ref="C15:D15"/>
    <mergeCell ref="F15:F16"/>
    <mergeCell ref="C14:E14"/>
    <mergeCell ref="A12:A13"/>
    <mergeCell ref="A29:F29"/>
    <mergeCell ref="C17:E17"/>
    <mergeCell ref="C18:E18"/>
    <mergeCell ref="C19:E19"/>
    <mergeCell ref="A21:A22"/>
    <mergeCell ref="B21:B22"/>
    <mergeCell ref="F21:F22"/>
    <mergeCell ref="C22:D22"/>
    <mergeCell ref="A24:F24"/>
    <mergeCell ref="B23:E23"/>
    <mergeCell ref="B26:E26"/>
    <mergeCell ref="A27:B28"/>
    <mergeCell ref="C27:E28"/>
    <mergeCell ref="C34:E34"/>
    <mergeCell ref="C35:E35"/>
    <mergeCell ref="C36:E36"/>
    <mergeCell ref="C37:E37"/>
    <mergeCell ref="C30:E30"/>
    <mergeCell ref="C31:E31"/>
    <mergeCell ref="C32:E32"/>
    <mergeCell ref="C33:E33"/>
    <mergeCell ref="A38:B38"/>
    <mergeCell ref="C38:E38"/>
    <mergeCell ref="C50:D51"/>
    <mergeCell ref="A49:B49"/>
    <mergeCell ref="C39:E39"/>
    <mergeCell ref="C40:E40"/>
    <mergeCell ref="C52:D52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A60:E60"/>
    <mergeCell ref="C56:E56"/>
    <mergeCell ref="A57:B57"/>
    <mergeCell ref="C57:E57"/>
    <mergeCell ref="B58:E58"/>
    <mergeCell ref="C53:E53"/>
    <mergeCell ref="C54:E54"/>
    <mergeCell ref="C55:E55"/>
    <mergeCell ref="A59:E59"/>
  </mergeCell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52"/>
  </sheetPr>
  <dimension ref="A1:F85"/>
  <sheetViews>
    <sheetView zoomScalePageLayoutView="0" workbookViewId="0" topLeftCell="A25">
      <selection activeCell="J4" sqref="J4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36.421875" style="0" customWidth="1"/>
    <col min="4" max="4" width="10.7109375" style="0" customWidth="1"/>
    <col min="6" max="6" width="14.57421875" style="0" customWidth="1"/>
  </cols>
  <sheetData>
    <row r="1" spans="1:6" ht="24">
      <c r="A1" s="2603" t="s">
        <v>163</v>
      </c>
      <c r="B1" s="2604"/>
      <c r="C1" s="2607" t="s">
        <v>818</v>
      </c>
      <c r="D1" s="2607"/>
      <c r="E1" s="2608"/>
      <c r="F1" s="1032" t="s">
        <v>819</v>
      </c>
    </row>
    <row r="2" spans="1:6" ht="12.75">
      <c r="A2" s="2605"/>
      <c r="B2" s="2606"/>
      <c r="C2" s="2609"/>
      <c r="D2" s="2609"/>
      <c r="E2" s="2610"/>
      <c r="F2" s="1035" t="s">
        <v>1532</v>
      </c>
    </row>
    <row r="3" spans="1:6" ht="21" thickBot="1">
      <c r="A3" s="2616" t="s">
        <v>879</v>
      </c>
      <c r="B3" s="2617"/>
      <c r="C3" s="2617"/>
      <c r="D3" s="2617"/>
      <c r="E3" s="2617"/>
      <c r="F3" s="2618"/>
    </row>
    <row r="4" spans="1:6" ht="12.75">
      <c r="A4" s="1038" t="s">
        <v>821</v>
      </c>
      <c r="B4" s="1039" t="s">
        <v>822</v>
      </c>
      <c r="C4" s="2591" t="s">
        <v>511</v>
      </c>
      <c r="D4" s="2592"/>
      <c r="E4" s="2592"/>
      <c r="F4" s="1040"/>
    </row>
    <row r="5" spans="1:6" ht="15.75" thickBot="1">
      <c r="A5" s="1136">
        <v>51</v>
      </c>
      <c r="B5" s="1137"/>
      <c r="C5" s="2676" t="s">
        <v>242</v>
      </c>
      <c r="D5" s="2677"/>
      <c r="E5" s="2677"/>
      <c r="F5" s="2678"/>
    </row>
    <row r="6" spans="1:6" ht="12.75">
      <c r="A6" s="2623">
        <v>511112</v>
      </c>
      <c r="B6" s="2625">
        <v>511212</v>
      </c>
      <c r="C6" s="1045" t="s">
        <v>880</v>
      </c>
      <c r="D6" s="1047">
        <f>'Bérek könyvtár'!H28</f>
        <v>135400</v>
      </c>
      <c r="E6" s="1047">
        <f>D6*11</f>
        <v>1489400</v>
      </c>
      <c r="F6" s="2679">
        <f>ROUND(SUM(E6:E7)/1000,4)</f>
        <v>1624.8</v>
      </c>
    </row>
    <row r="7" spans="1:6" ht="13.5" thickBot="1">
      <c r="A7" s="2624"/>
      <c r="B7" s="2626"/>
      <c r="C7" s="2629" t="s">
        <v>824</v>
      </c>
      <c r="D7" s="2630"/>
      <c r="E7" s="1108">
        <f>'Bérek könyvtár'!F28</f>
        <v>135400</v>
      </c>
      <c r="F7" s="2680"/>
    </row>
    <row r="8" spans="1:6" ht="12.75">
      <c r="A8" s="2614">
        <v>511112</v>
      </c>
      <c r="B8" s="2625">
        <v>511212</v>
      </c>
      <c r="C8" s="1045" t="s">
        <v>881</v>
      </c>
      <c r="D8" s="1047">
        <f>'Bérek könyvtár'!H29</f>
        <v>122000</v>
      </c>
      <c r="E8" s="1047">
        <f>D8*6</f>
        <v>732000</v>
      </c>
      <c r="F8" s="2666">
        <f>ROUND(SUM(E8+E9)/1000,4)</f>
        <v>854</v>
      </c>
    </row>
    <row r="9" spans="1:6" ht="13.5" thickBot="1">
      <c r="A9" s="2674"/>
      <c r="B9" s="2675"/>
      <c r="C9" s="2668" t="s">
        <v>824</v>
      </c>
      <c r="D9" s="2669"/>
      <c r="E9" s="1139">
        <f>'Bérek könyvtár'!F29</f>
        <v>122000</v>
      </c>
      <c r="F9" s="2667"/>
    </row>
    <row r="10" spans="1:6" ht="13.5" thickBot="1">
      <c r="A10" s="1140">
        <v>511112</v>
      </c>
      <c r="B10" s="1141"/>
      <c r="C10" s="2670" t="s">
        <v>828</v>
      </c>
      <c r="D10" s="2671"/>
      <c r="E10" s="2671"/>
      <c r="F10" s="1142">
        <f>F6+F8</f>
        <v>2478.8</v>
      </c>
    </row>
    <row r="11" spans="1:6" ht="13.5" thickBot="1">
      <c r="A11" s="1143">
        <v>514132</v>
      </c>
      <c r="B11" s="1144">
        <v>514232</v>
      </c>
      <c r="C11" s="2672" t="s">
        <v>832</v>
      </c>
      <c r="D11" s="2672"/>
      <c r="E11" s="2673"/>
      <c r="F11" s="1145">
        <v>70</v>
      </c>
    </row>
    <row r="12" spans="1:6" ht="12.75">
      <c r="A12" s="2658">
        <v>516115</v>
      </c>
      <c r="B12" s="2659">
        <v>516215</v>
      </c>
      <c r="C12" s="1146" t="s">
        <v>882</v>
      </c>
      <c r="D12" s="1147">
        <f>'Bérek könyvtár'!H30</f>
        <v>0</v>
      </c>
      <c r="E12" s="1048">
        <f>D12*10</f>
        <v>0</v>
      </c>
      <c r="F12" s="2660">
        <f>ROUND((E12+E13)/1000,3)</f>
        <v>60</v>
      </c>
    </row>
    <row r="13" spans="1:6" ht="12.75">
      <c r="A13" s="2658"/>
      <c r="B13" s="2659"/>
      <c r="C13" s="2661" t="s">
        <v>824</v>
      </c>
      <c r="D13" s="2662"/>
      <c r="E13" s="1048">
        <f>'Bérek könyvtár'!F30</f>
        <v>60000</v>
      </c>
      <c r="F13" s="2660"/>
    </row>
    <row r="14" spans="1:6" ht="12.75">
      <c r="A14" s="2658">
        <v>516115</v>
      </c>
      <c r="B14" s="2659">
        <v>516215</v>
      </c>
      <c r="C14" s="1146" t="s">
        <v>883</v>
      </c>
      <c r="D14" s="1147">
        <f>'Bérek könyvtár'!H31</f>
        <v>0</v>
      </c>
      <c r="E14" s="1048">
        <f>D14*10</f>
        <v>0</v>
      </c>
      <c r="F14" s="2660">
        <f>ROUND((E14+E15)/1000,3)</f>
        <v>43</v>
      </c>
    </row>
    <row r="15" spans="1:6" ht="12.75">
      <c r="A15" s="2658"/>
      <c r="B15" s="2659"/>
      <c r="C15" s="2661" t="s">
        <v>824</v>
      </c>
      <c r="D15" s="2662"/>
      <c r="E15" s="1048">
        <f>'Bérek könyvtár'!F31</f>
        <v>43000</v>
      </c>
      <c r="F15" s="2660"/>
    </row>
    <row r="16" spans="1:6" ht="12.75">
      <c r="A16" s="2658">
        <v>516115</v>
      </c>
      <c r="B16" s="2659">
        <v>516215</v>
      </c>
      <c r="C16" s="1146" t="s">
        <v>884</v>
      </c>
      <c r="D16" s="1147">
        <f>'Bérek könyvtár'!H33</f>
        <v>0</v>
      </c>
      <c r="E16" s="1048">
        <f>D16*10</f>
        <v>0</v>
      </c>
      <c r="F16" s="2660">
        <f>ROUND((E16+E17)/1000,3)</f>
        <v>50</v>
      </c>
    </row>
    <row r="17" spans="1:6" ht="12.75">
      <c r="A17" s="2658"/>
      <c r="B17" s="2659"/>
      <c r="C17" s="2661" t="s">
        <v>824</v>
      </c>
      <c r="D17" s="2662"/>
      <c r="E17" s="1048">
        <f>'Bérek könyvtár'!F32</f>
        <v>50000</v>
      </c>
      <c r="F17" s="2660"/>
    </row>
    <row r="18" spans="1:6" ht="12.75">
      <c r="A18" s="2658">
        <v>516115</v>
      </c>
      <c r="B18" s="2659">
        <v>516215</v>
      </c>
      <c r="C18" s="1146" t="s">
        <v>885</v>
      </c>
      <c r="D18" s="1147">
        <f>'Bérek könyvtár'!H35</f>
        <v>0</v>
      </c>
      <c r="E18" s="1048">
        <f>D18*10</f>
        <v>0</v>
      </c>
      <c r="F18" s="2660">
        <f>ROUND((E18+E19)/1000,3)</f>
        <v>45</v>
      </c>
    </row>
    <row r="19" spans="1:6" ht="12.75">
      <c r="A19" s="2658"/>
      <c r="B19" s="2659"/>
      <c r="C19" s="2661" t="s">
        <v>824</v>
      </c>
      <c r="D19" s="2662"/>
      <c r="E19" s="1048">
        <f>'Bérek könyvtár'!F33</f>
        <v>45000</v>
      </c>
      <c r="F19" s="2660"/>
    </row>
    <row r="20" spans="1:6" ht="12.75">
      <c r="A20" s="2658">
        <v>516115</v>
      </c>
      <c r="B20" s="2659">
        <v>516215</v>
      </c>
      <c r="C20" s="1146" t="s">
        <v>886</v>
      </c>
      <c r="D20" s="1147">
        <f>'Bérek könyvtár'!H32</f>
        <v>0</v>
      </c>
      <c r="E20" s="1048">
        <f>D20*11</f>
        <v>0</v>
      </c>
      <c r="F20" s="2660">
        <f>ROUND((E20+E21)/1000,3)</f>
        <v>42</v>
      </c>
    </row>
    <row r="21" spans="1:6" ht="12.75">
      <c r="A21" s="2658"/>
      <c r="B21" s="2659"/>
      <c r="C21" s="2661" t="s">
        <v>824</v>
      </c>
      <c r="D21" s="2662"/>
      <c r="E21" s="1048">
        <f>'Bérek könyvtár'!F34</f>
        <v>42000</v>
      </c>
      <c r="F21" s="2660"/>
    </row>
    <row r="22" spans="1:6" ht="13.5" thickBot="1">
      <c r="A22" s="1148">
        <v>516115</v>
      </c>
      <c r="B22" s="1149"/>
      <c r="C22" s="1150"/>
      <c r="D22" s="1144"/>
      <c r="E22" s="1151"/>
      <c r="F22" s="1152">
        <f>F12+F14+F16+F18+F20</f>
        <v>240</v>
      </c>
    </row>
    <row r="23" spans="1:6" ht="15.75" thickBot="1">
      <c r="A23" s="1154">
        <v>52</v>
      </c>
      <c r="B23" s="1155"/>
      <c r="C23" s="2663" t="s">
        <v>887</v>
      </c>
      <c r="D23" s="2664"/>
      <c r="E23" s="2664"/>
      <c r="F23" s="2665"/>
    </row>
    <row r="24" spans="1:6" ht="12.75">
      <c r="A24" s="2614">
        <v>52211</v>
      </c>
      <c r="B24" s="2625">
        <v>52221</v>
      </c>
      <c r="C24" s="1045" t="s">
        <v>888</v>
      </c>
      <c r="D24" s="1046">
        <f>'Bérek könyvtár'!H39</f>
        <v>25000</v>
      </c>
      <c r="E24" s="1047">
        <f>D24*11</f>
        <v>275000</v>
      </c>
      <c r="F24" s="2632">
        <f>ROUND((E24+E25)/1000,3)</f>
        <v>300</v>
      </c>
    </row>
    <row r="25" spans="1:6" ht="12.75">
      <c r="A25" s="2658"/>
      <c r="B25" s="2659"/>
      <c r="C25" s="2661" t="s">
        <v>824</v>
      </c>
      <c r="D25" s="2661"/>
      <c r="E25" s="1048">
        <f>'Bérek könyvtár'!F39</f>
        <v>25000</v>
      </c>
      <c r="F25" s="2660"/>
    </row>
    <row r="26" spans="1:6" ht="12.75">
      <c r="A26" s="2658">
        <v>52211</v>
      </c>
      <c r="B26" s="2659">
        <v>52221</v>
      </c>
      <c r="C26" s="1146" t="s">
        <v>889</v>
      </c>
      <c r="D26" s="1147">
        <f>'Bérek könyvtár'!H40</f>
        <v>25000</v>
      </c>
      <c r="E26" s="1048">
        <f>D26*11</f>
        <v>275000</v>
      </c>
      <c r="F26" s="2660">
        <f>ROUND((E26+E27)/1000,3)</f>
        <v>300</v>
      </c>
    </row>
    <row r="27" spans="1:6" ht="12.75">
      <c r="A27" s="2658"/>
      <c r="B27" s="2659"/>
      <c r="C27" s="2661" t="s">
        <v>824</v>
      </c>
      <c r="D27" s="2662"/>
      <c r="E27" s="1048">
        <f>'Bérek könyvtár'!F40</f>
        <v>25000</v>
      </c>
      <c r="F27" s="2660"/>
    </row>
    <row r="28" spans="1:6" ht="12.75">
      <c r="A28" s="2658">
        <v>52211</v>
      </c>
      <c r="B28" s="2659">
        <v>52221</v>
      </c>
      <c r="C28" s="1146" t="s">
        <v>890</v>
      </c>
      <c r="D28" s="1147">
        <f>'Bérek könyvtár'!H41</f>
        <v>20000</v>
      </c>
      <c r="E28" s="1048">
        <f>D28*11</f>
        <v>220000</v>
      </c>
      <c r="F28" s="2660">
        <f>ROUND((E28+E29)/1000,3)</f>
        <v>240</v>
      </c>
    </row>
    <row r="29" spans="1:6" ht="12.75">
      <c r="A29" s="2658"/>
      <c r="B29" s="2659"/>
      <c r="C29" s="2661" t="s">
        <v>824</v>
      </c>
      <c r="D29" s="2662"/>
      <c r="E29" s="1048">
        <f>'Bérek könyvtár'!F41</f>
        <v>20000</v>
      </c>
      <c r="F29" s="2660"/>
    </row>
    <row r="30" spans="1:6" ht="12.75">
      <c r="A30" s="2658">
        <v>52211</v>
      </c>
      <c r="B30" s="2659">
        <v>52221</v>
      </c>
      <c r="C30" s="1146" t="s">
        <v>891</v>
      </c>
      <c r="D30" s="1147">
        <f>'Bérek könyvtár'!H42</f>
        <v>25000</v>
      </c>
      <c r="E30" s="1048">
        <f>D30*11</f>
        <v>275000</v>
      </c>
      <c r="F30" s="2660">
        <f>ROUND((E30+E31)/1000,3)</f>
        <v>300</v>
      </c>
    </row>
    <row r="31" spans="1:6" ht="12.75">
      <c r="A31" s="2658"/>
      <c r="B31" s="2659"/>
      <c r="C31" s="2661" t="s">
        <v>824</v>
      </c>
      <c r="D31" s="2662"/>
      <c r="E31" s="1048">
        <f>'Bérek könyvtár'!F42</f>
        <v>25000</v>
      </c>
      <c r="F31" s="2660"/>
    </row>
    <row r="32" spans="1:6" ht="12.75">
      <c r="A32" s="2658">
        <v>52211</v>
      </c>
      <c r="B32" s="2659">
        <v>52221</v>
      </c>
      <c r="C32" s="1146" t="s">
        <v>892</v>
      </c>
      <c r="D32" s="1147">
        <f>'Bérek könyvtár'!H43</f>
        <v>25000</v>
      </c>
      <c r="E32" s="1048">
        <f>D32*11</f>
        <v>275000</v>
      </c>
      <c r="F32" s="2660">
        <f>ROUND((E32+E33)/1000,3)</f>
        <v>275</v>
      </c>
    </row>
    <row r="33" spans="1:6" ht="12.75">
      <c r="A33" s="2658"/>
      <c r="B33" s="2659"/>
      <c r="C33" s="2661" t="s">
        <v>824</v>
      </c>
      <c r="D33" s="2662"/>
      <c r="E33" s="1048">
        <f>'Bérek könyvtár'!F43</f>
        <v>0</v>
      </c>
      <c r="F33" s="2660"/>
    </row>
    <row r="34" spans="1:6" ht="12.75">
      <c r="A34" s="2658">
        <v>52211</v>
      </c>
      <c r="B34" s="2659">
        <v>52221</v>
      </c>
      <c r="C34" s="1146" t="s">
        <v>893</v>
      </c>
      <c r="D34" s="1147">
        <f>'Bérek könyvtár'!H44</f>
        <v>25000</v>
      </c>
      <c r="E34" s="1048">
        <f>D34*11</f>
        <v>275000</v>
      </c>
      <c r="F34" s="2660">
        <f>ROUND((E34+E35)/1000,3)</f>
        <v>275</v>
      </c>
    </row>
    <row r="35" spans="1:6" ht="12.75">
      <c r="A35" s="2658"/>
      <c r="B35" s="2659"/>
      <c r="C35" s="2661" t="s">
        <v>824</v>
      </c>
      <c r="D35" s="2662"/>
      <c r="E35" s="1048">
        <f>'Bérek könyvtár'!F44</f>
        <v>0</v>
      </c>
      <c r="F35" s="2660"/>
    </row>
    <row r="36" spans="1:6" ht="12.75">
      <c r="A36" s="2658">
        <v>52211</v>
      </c>
      <c r="B36" s="2659">
        <v>52221</v>
      </c>
      <c r="C36" s="1146" t="s">
        <v>894</v>
      </c>
      <c r="D36" s="1147">
        <f>'Bérek könyvtár'!H45</f>
        <v>25000</v>
      </c>
      <c r="E36" s="1048">
        <f>D36*11</f>
        <v>275000</v>
      </c>
      <c r="F36" s="2660">
        <f>ROUND((E36+E37)/1000,3)</f>
        <v>275</v>
      </c>
    </row>
    <row r="37" spans="1:6" ht="12.75">
      <c r="A37" s="2658"/>
      <c r="B37" s="2659"/>
      <c r="C37" s="2661" t="s">
        <v>824</v>
      </c>
      <c r="D37" s="2662"/>
      <c r="E37" s="1048">
        <f>'Bérek könyvtár'!F45</f>
        <v>0</v>
      </c>
      <c r="F37" s="2660"/>
    </row>
    <row r="38" spans="1:6" ht="12.75">
      <c r="A38" s="2658">
        <v>52211</v>
      </c>
      <c r="B38" s="2659">
        <v>52221</v>
      </c>
      <c r="C38" s="1146" t="s">
        <v>895</v>
      </c>
      <c r="D38" s="1147">
        <f>'Bérek könyvtár'!H46</f>
        <v>25000</v>
      </c>
      <c r="E38" s="1048">
        <f>D38*11</f>
        <v>275000</v>
      </c>
      <c r="F38" s="2660">
        <f>ROUND((E38+E39)/1000,3)</f>
        <v>275</v>
      </c>
    </row>
    <row r="39" spans="1:6" ht="12.75">
      <c r="A39" s="2658"/>
      <c r="B39" s="2659"/>
      <c r="C39" s="2661" t="s">
        <v>824</v>
      </c>
      <c r="D39" s="2662"/>
      <c r="E39" s="1048">
        <f>'Bérek könyvtár'!F46</f>
        <v>0</v>
      </c>
      <c r="F39" s="2660"/>
    </row>
    <row r="40" spans="1:6" ht="12.75">
      <c r="A40" s="2658">
        <v>52211</v>
      </c>
      <c r="B40" s="2659">
        <v>52221</v>
      </c>
      <c r="C40" s="1146" t="s">
        <v>896</v>
      </c>
      <c r="D40" s="1147">
        <f>'Bérek könyvtár'!H47</f>
        <v>25000</v>
      </c>
      <c r="E40" s="1048">
        <f>D40*11</f>
        <v>275000</v>
      </c>
      <c r="F40" s="2660">
        <f>ROUND((E40+E41)/1000,3)</f>
        <v>275</v>
      </c>
    </row>
    <row r="41" spans="1:6" ht="12.75">
      <c r="A41" s="2658"/>
      <c r="B41" s="2659"/>
      <c r="C41" s="2661" t="s">
        <v>824</v>
      </c>
      <c r="D41" s="2662"/>
      <c r="E41" s="1048">
        <f>'Bérek könyvtár'!F47</f>
        <v>0</v>
      </c>
      <c r="F41" s="2660"/>
    </row>
    <row r="42" spans="1:6" ht="12.75">
      <c r="A42" s="2658">
        <v>52211</v>
      </c>
      <c r="B42" s="2659">
        <v>52221</v>
      </c>
      <c r="C42" s="1146" t="s">
        <v>897</v>
      </c>
      <c r="D42" s="1147">
        <f>'Bérek könyvtár'!H48</f>
        <v>25000</v>
      </c>
      <c r="E42" s="1048">
        <f>D42*11</f>
        <v>275000</v>
      </c>
      <c r="F42" s="2660">
        <f>ROUND((E42+E43)/1000,3)</f>
        <v>275</v>
      </c>
    </row>
    <row r="43" spans="1:6" ht="12.75">
      <c r="A43" s="2658"/>
      <c r="B43" s="2659"/>
      <c r="C43" s="2661" t="s">
        <v>824</v>
      </c>
      <c r="D43" s="2662"/>
      <c r="E43" s="1048">
        <f>'Bérek könyvtár'!F48</f>
        <v>0</v>
      </c>
      <c r="F43" s="2660"/>
    </row>
    <row r="44" spans="1:6" ht="12.75">
      <c r="A44" s="2658">
        <v>52211</v>
      </c>
      <c r="B44" s="2659">
        <v>52221</v>
      </c>
      <c r="C44" s="1146" t="s">
        <v>898</v>
      </c>
      <c r="D44" s="1147">
        <f>'Bérek könyvtár'!H49</f>
        <v>25000</v>
      </c>
      <c r="E44" s="1048">
        <f>D44*11</f>
        <v>275000</v>
      </c>
      <c r="F44" s="2660">
        <f>ROUND((E44+E45)/1000,3)</f>
        <v>275</v>
      </c>
    </row>
    <row r="45" spans="1:6" ht="12.75">
      <c r="A45" s="2658"/>
      <c r="B45" s="2659"/>
      <c r="C45" s="2661" t="s">
        <v>824</v>
      </c>
      <c r="D45" s="2662"/>
      <c r="E45" s="1048">
        <f>'Bérek könyvtár'!F49</f>
        <v>0</v>
      </c>
      <c r="F45" s="2660"/>
    </row>
    <row r="46" spans="1:6" ht="12.75">
      <c r="A46" s="2658">
        <v>52211</v>
      </c>
      <c r="B46" s="2659">
        <v>52221</v>
      </c>
      <c r="C46" s="1146" t="s">
        <v>899</v>
      </c>
      <c r="D46" s="1147">
        <f>'Bérek könyvtár'!H50</f>
        <v>25000</v>
      </c>
      <c r="E46" s="1048">
        <f>D46*11</f>
        <v>275000</v>
      </c>
      <c r="F46" s="2660">
        <f>ROUND((E46+E47)/1000,3)</f>
        <v>275</v>
      </c>
    </row>
    <row r="47" spans="1:6" ht="12.75">
      <c r="A47" s="2658"/>
      <c r="B47" s="2659"/>
      <c r="C47" s="2661" t="s">
        <v>824</v>
      </c>
      <c r="D47" s="2662"/>
      <c r="E47" s="1048">
        <f>'Bérek könyvtár'!F50</f>
        <v>0</v>
      </c>
      <c r="F47" s="2660"/>
    </row>
    <row r="48" spans="1:6" ht="13.5" thickBot="1">
      <c r="A48" s="1148">
        <v>52211</v>
      </c>
      <c r="B48" s="1157"/>
      <c r="C48" s="1158"/>
      <c r="D48" s="1159"/>
      <c r="E48" s="1160"/>
      <c r="F48" s="1152">
        <f>F24+F26+F28+F30+F32+F34+F36+F38+F40+F42+F44+F46</f>
        <v>3340</v>
      </c>
    </row>
    <row r="49" spans="1:6" ht="18.75" thickBot="1">
      <c r="A49" s="1126" t="s">
        <v>164</v>
      </c>
      <c r="B49" s="2600" t="s">
        <v>836</v>
      </c>
      <c r="C49" s="2601"/>
      <c r="D49" s="2601"/>
      <c r="E49" s="2602"/>
      <c r="F49" s="1127">
        <f>F10+F11+F22+F48</f>
        <v>6128.8</v>
      </c>
    </row>
    <row r="50" spans="1:6" ht="16.5" thickBot="1">
      <c r="A50" s="2599" t="s">
        <v>837</v>
      </c>
      <c r="B50" s="2599"/>
      <c r="C50" s="2599"/>
      <c r="D50" s="2599"/>
      <c r="E50" s="2599"/>
      <c r="F50" s="2599"/>
    </row>
    <row r="51" spans="1:6" ht="12.75">
      <c r="A51" s="1068">
        <v>53112</v>
      </c>
      <c r="B51" s="1069">
        <v>53122</v>
      </c>
      <c r="C51" s="1070" t="s">
        <v>838</v>
      </c>
      <c r="D51" s="1071">
        <f>F49-F11</f>
        <v>6058.8</v>
      </c>
      <c r="E51" s="1161" t="s">
        <v>839</v>
      </c>
      <c r="F51" s="1073">
        <f>D51*0.27</f>
        <v>1635.8760000000002</v>
      </c>
    </row>
    <row r="52" spans="1:6" ht="18.75" thickBot="1">
      <c r="A52" s="1126">
        <v>53</v>
      </c>
      <c r="B52" s="2600" t="s">
        <v>840</v>
      </c>
      <c r="C52" s="2601"/>
      <c r="D52" s="2601"/>
      <c r="E52" s="2602"/>
      <c r="F52" s="1065">
        <f>SUM(F51:F51)</f>
        <v>1635.8760000000002</v>
      </c>
    </row>
    <row r="53" spans="1:6" ht="16.5" thickBot="1">
      <c r="A53" s="2656"/>
      <c r="B53" s="2657"/>
      <c r="C53" s="2657"/>
      <c r="D53" s="2657"/>
      <c r="E53" s="2657"/>
      <c r="F53" s="2657"/>
    </row>
    <row r="54" spans="1:6" ht="24">
      <c r="A54" s="2603" t="s">
        <v>163</v>
      </c>
      <c r="B54" s="2604"/>
      <c r="C54" s="2607" t="s">
        <v>818</v>
      </c>
      <c r="D54" s="2607"/>
      <c r="E54" s="2608"/>
      <c r="F54" s="1032" t="s">
        <v>819</v>
      </c>
    </row>
    <row r="55" spans="1:6" ht="12.75">
      <c r="A55" s="2605"/>
      <c r="B55" s="2606"/>
      <c r="C55" s="2609"/>
      <c r="D55" s="2609"/>
      <c r="E55" s="2610"/>
      <c r="F55" s="1035" t="s">
        <v>1889</v>
      </c>
    </row>
    <row r="56" spans="1:6" ht="21" thickBot="1">
      <c r="A56" s="2616" t="s">
        <v>900</v>
      </c>
      <c r="B56" s="2617"/>
      <c r="C56" s="2617"/>
      <c r="D56" s="2617"/>
      <c r="E56" s="2617"/>
      <c r="F56" s="2618"/>
    </row>
    <row r="57" spans="1:6" ht="12.75">
      <c r="A57" s="1038" t="s">
        <v>821</v>
      </c>
      <c r="B57" s="1039" t="s">
        <v>822</v>
      </c>
      <c r="C57" s="2591" t="s">
        <v>511</v>
      </c>
      <c r="D57" s="2592"/>
      <c r="E57" s="2592"/>
      <c r="F57" s="1040"/>
    </row>
    <row r="58" spans="1:6" ht="13.5" thickBot="1">
      <c r="A58" s="1041" t="s">
        <v>901</v>
      </c>
      <c r="B58" s="1042"/>
      <c r="C58" s="2593" t="s">
        <v>842</v>
      </c>
      <c r="D58" s="2594"/>
      <c r="E58" s="2655"/>
      <c r="F58" s="1044"/>
    </row>
    <row r="59" spans="1:6" ht="12.75">
      <c r="A59" s="1068">
        <v>5431</v>
      </c>
      <c r="B59" s="1069">
        <v>5432</v>
      </c>
      <c r="C59" s="2596" t="s">
        <v>1472</v>
      </c>
      <c r="D59" s="2597"/>
      <c r="E59" s="2598"/>
      <c r="F59" s="1079">
        <v>150</v>
      </c>
    </row>
    <row r="60" spans="1:6" ht="12.75">
      <c r="A60" s="1080">
        <v>54411</v>
      </c>
      <c r="B60" s="1081">
        <v>54421</v>
      </c>
      <c r="C60" s="2570" t="s">
        <v>843</v>
      </c>
      <c r="D60" s="2571"/>
      <c r="E60" s="2572"/>
      <c r="F60" s="1082">
        <v>1300</v>
      </c>
    </row>
    <row r="61" spans="1:6" ht="12.75">
      <c r="A61" s="1080">
        <v>54412</v>
      </c>
      <c r="B61" s="1081">
        <v>54422</v>
      </c>
      <c r="C61" s="2570" t="s">
        <v>844</v>
      </c>
      <c r="D61" s="2571"/>
      <c r="E61" s="2572"/>
      <c r="F61" s="1082">
        <v>600</v>
      </c>
    </row>
    <row r="62" spans="1:6" ht="12.75">
      <c r="A62" s="1080">
        <v>5461</v>
      </c>
      <c r="B62" s="1081"/>
      <c r="C62" s="2570" t="s">
        <v>902</v>
      </c>
      <c r="D62" s="2571"/>
      <c r="E62" s="2586"/>
      <c r="F62" s="1082">
        <v>200</v>
      </c>
    </row>
    <row r="63" spans="1:6" ht="12.75">
      <c r="A63" s="1080">
        <v>54711</v>
      </c>
      <c r="B63" s="1081">
        <v>54721</v>
      </c>
      <c r="C63" s="2570" t="s">
        <v>845</v>
      </c>
      <c r="D63" s="2571"/>
      <c r="E63" s="2572"/>
      <c r="F63" s="1082">
        <v>150</v>
      </c>
    </row>
    <row r="64" spans="1:6" ht="12.75">
      <c r="A64" s="1080">
        <v>54712</v>
      </c>
      <c r="B64" s="1081">
        <v>54722</v>
      </c>
      <c r="C64" s="2570" t="s">
        <v>846</v>
      </c>
      <c r="D64" s="2571"/>
      <c r="E64" s="2572"/>
      <c r="F64" s="1082">
        <v>150</v>
      </c>
    </row>
    <row r="65" spans="1:6" ht="12.75">
      <c r="A65" s="1080">
        <v>5491</v>
      </c>
      <c r="B65" s="1081">
        <v>5492</v>
      </c>
      <c r="C65" s="2570" t="s">
        <v>847</v>
      </c>
      <c r="D65" s="2571"/>
      <c r="E65" s="2572"/>
      <c r="F65" s="1082">
        <v>150</v>
      </c>
    </row>
    <row r="66" spans="1:6" ht="12.75">
      <c r="A66" s="2588"/>
      <c r="B66" s="2589"/>
      <c r="C66" s="2587" t="s">
        <v>848</v>
      </c>
      <c r="D66" s="2585"/>
      <c r="E66" s="2585"/>
      <c r="F66" s="1084">
        <f>SUM(F59:F65)</f>
        <v>2700</v>
      </c>
    </row>
    <row r="67" spans="1:6" ht="12.75">
      <c r="A67" s="1080">
        <v>55112</v>
      </c>
      <c r="B67" s="1081">
        <v>55122</v>
      </c>
      <c r="C67" s="2584" t="s">
        <v>873</v>
      </c>
      <c r="D67" s="2654"/>
      <c r="E67" s="2654"/>
      <c r="F67" s="1082">
        <v>300</v>
      </c>
    </row>
    <row r="68" spans="1:6" ht="12.75">
      <c r="A68" s="1080">
        <v>552121</v>
      </c>
      <c r="B68" s="1081">
        <v>552221</v>
      </c>
      <c r="C68" s="2570" t="s">
        <v>645</v>
      </c>
      <c r="D68" s="2571"/>
      <c r="E68" s="2572"/>
      <c r="F68" s="1082">
        <v>100</v>
      </c>
    </row>
    <row r="69" spans="1:6" ht="12.75">
      <c r="A69" s="1080">
        <v>55218</v>
      </c>
      <c r="B69" s="1081">
        <v>55228</v>
      </c>
      <c r="C69" s="2570" t="s">
        <v>854</v>
      </c>
      <c r="D69" s="2571"/>
      <c r="E69" s="2572"/>
      <c r="F69" s="1082">
        <v>150</v>
      </c>
    </row>
    <row r="70" spans="1:6" ht="12.75">
      <c r="A70" s="2588"/>
      <c r="B70" s="2589"/>
      <c r="C70" s="2587" t="s">
        <v>858</v>
      </c>
      <c r="D70" s="2585"/>
      <c r="E70" s="2585"/>
      <c r="F70" s="1084">
        <f>SUM(F67:F69)</f>
        <v>550</v>
      </c>
    </row>
    <row r="71" spans="1:6" ht="12.75">
      <c r="A71" s="1086">
        <v>56112</v>
      </c>
      <c r="B71" s="1081">
        <v>56122</v>
      </c>
      <c r="C71" s="2651" t="s">
        <v>859</v>
      </c>
      <c r="D71" s="2572"/>
      <c r="E71" s="1087">
        <v>0.25</v>
      </c>
      <c r="F71" s="1088">
        <f>SUM(F59,F61:F65,F68:F69)*0.25</f>
        <v>412.5</v>
      </c>
    </row>
    <row r="72" spans="1:6" ht="12.75">
      <c r="A72" s="1080">
        <v>56114</v>
      </c>
      <c r="B72" s="1081">
        <v>56124</v>
      </c>
      <c r="C72" s="2584" t="s">
        <v>860</v>
      </c>
      <c r="D72" s="2585"/>
      <c r="E72" s="1087">
        <v>0.05</v>
      </c>
      <c r="F72" s="1088">
        <f>F60*0.05</f>
        <v>65</v>
      </c>
    </row>
    <row r="73" spans="1:6" ht="12.75">
      <c r="A73" s="1163">
        <v>56211</v>
      </c>
      <c r="B73" s="1058">
        <v>56221</v>
      </c>
      <c r="C73" s="2651" t="s">
        <v>1400</v>
      </c>
      <c r="D73" s="2652"/>
      <c r="E73" s="2653"/>
      <c r="F73" s="1088">
        <v>8</v>
      </c>
    </row>
    <row r="74" spans="1:6" ht="13.5" thickBot="1">
      <c r="A74" s="2579"/>
      <c r="B74" s="2580"/>
      <c r="C74" s="2581" t="s">
        <v>863</v>
      </c>
      <c r="D74" s="2582"/>
      <c r="E74" s="2582"/>
      <c r="F74" s="1129">
        <f>SUM(F71:F73)</f>
        <v>485.5</v>
      </c>
    </row>
    <row r="75" spans="1:6" ht="18.75" thickBot="1">
      <c r="A75" s="1130" t="s">
        <v>901</v>
      </c>
      <c r="B75" s="2583" t="s">
        <v>903</v>
      </c>
      <c r="C75" s="2583"/>
      <c r="D75" s="2583"/>
      <c r="E75" s="2583"/>
      <c r="F75" s="1065">
        <f>SUM(F74,F70,F66)</f>
        <v>3735.5</v>
      </c>
    </row>
    <row r="76" spans="1:6" ht="23.25">
      <c r="A76" s="2573" t="s">
        <v>904</v>
      </c>
      <c r="B76" s="2573"/>
      <c r="C76" s="2573"/>
      <c r="D76" s="2573"/>
      <c r="E76" s="2573"/>
      <c r="F76" s="1098">
        <f>SUM(F49,F52,F75)</f>
        <v>11500.176</v>
      </c>
    </row>
    <row r="77" spans="1:6" ht="16.5" thickBot="1">
      <c r="A77" s="1164"/>
      <c r="B77" s="1165"/>
      <c r="C77" s="2649"/>
      <c r="D77" s="2650"/>
      <c r="E77" s="2650"/>
      <c r="F77" s="2650"/>
    </row>
    <row r="78" spans="1:6" ht="24">
      <c r="A78" s="2603" t="s">
        <v>163</v>
      </c>
      <c r="B78" s="2604"/>
      <c r="C78" s="2607" t="s">
        <v>818</v>
      </c>
      <c r="D78" s="2607"/>
      <c r="E78" s="2608"/>
      <c r="F78" s="1032" t="s">
        <v>819</v>
      </c>
    </row>
    <row r="79" spans="1:6" ht="12.75">
      <c r="A79" s="2605"/>
      <c r="B79" s="2606"/>
      <c r="C79" s="2609"/>
      <c r="D79" s="2609"/>
      <c r="E79" s="2610"/>
      <c r="F79" s="1035" t="s">
        <v>1889</v>
      </c>
    </row>
    <row r="80" spans="1:6" ht="18.75" thickBot="1">
      <c r="A80" s="2643" t="s">
        <v>905</v>
      </c>
      <c r="B80" s="2644"/>
      <c r="C80" s="2644"/>
      <c r="D80" s="2644"/>
      <c r="E80" s="2644"/>
      <c r="F80" s="2645"/>
    </row>
    <row r="81" spans="1:6" ht="13.5" thickBot="1">
      <c r="A81" s="1166" t="s">
        <v>821</v>
      </c>
      <c r="B81" s="1167" t="s">
        <v>822</v>
      </c>
      <c r="C81" s="2646"/>
      <c r="D81" s="2647"/>
      <c r="E81" s="2647"/>
      <c r="F81" s="1168"/>
    </row>
    <row r="82" spans="1:6" ht="12.75">
      <c r="A82" s="1031">
        <v>1</v>
      </c>
      <c r="B82" s="1039"/>
      <c r="C82" s="2591" t="s">
        <v>906</v>
      </c>
      <c r="D82" s="2648"/>
      <c r="E82" s="2648"/>
      <c r="F82" s="1040"/>
    </row>
    <row r="83" spans="1:6" ht="12.75">
      <c r="A83" s="1169">
        <v>13151</v>
      </c>
      <c r="B83" s="1170"/>
      <c r="C83" s="2639" t="s">
        <v>907</v>
      </c>
      <c r="D83" s="2639"/>
      <c r="E83" s="2639"/>
      <c r="F83" s="1171">
        <v>720</v>
      </c>
    </row>
    <row r="84" spans="1:6" ht="12.75">
      <c r="A84" s="1172">
        <v>18211</v>
      </c>
      <c r="B84" s="1170"/>
      <c r="C84" s="2639" t="s">
        <v>908</v>
      </c>
      <c r="D84" s="2639"/>
      <c r="E84" s="2639"/>
      <c r="F84" s="1171">
        <f>F83*0.27</f>
        <v>194.4</v>
      </c>
    </row>
    <row r="85" spans="1:6" ht="24" thickBot="1">
      <c r="A85" s="2640" t="s">
        <v>909</v>
      </c>
      <c r="B85" s="2641"/>
      <c r="C85" s="2641"/>
      <c r="D85" s="2641"/>
      <c r="E85" s="2642"/>
      <c r="F85" s="1173">
        <f>F83+F84</f>
        <v>914.4</v>
      </c>
    </row>
  </sheetData>
  <sheetProtection/>
  <mergeCells count="123">
    <mergeCell ref="C5:F5"/>
    <mergeCell ref="A6:A7"/>
    <mergeCell ref="B6:B7"/>
    <mergeCell ref="A1:B2"/>
    <mergeCell ref="C1:E2"/>
    <mergeCell ref="A3:F3"/>
    <mergeCell ref="C4:E4"/>
    <mergeCell ref="F6:F7"/>
    <mergeCell ref="A14:A15"/>
    <mergeCell ref="B14:B15"/>
    <mergeCell ref="F14:F15"/>
    <mergeCell ref="C15:D15"/>
    <mergeCell ref="A12:A13"/>
    <mergeCell ref="C7:D7"/>
    <mergeCell ref="C10:E10"/>
    <mergeCell ref="C11:E11"/>
    <mergeCell ref="A8:A9"/>
    <mergeCell ref="B8:B9"/>
    <mergeCell ref="C19:D19"/>
    <mergeCell ref="F8:F9"/>
    <mergeCell ref="C9:D9"/>
    <mergeCell ref="B12:B13"/>
    <mergeCell ref="F12:F13"/>
    <mergeCell ref="C13:D13"/>
    <mergeCell ref="B24:B25"/>
    <mergeCell ref="F24:F25"/>
    <mergeCell ref="C25:D25"/>
    <mergeCell ref="A16:A17"/>
    <mergeCell ref="B16:B17"/>
    <mergeCell ref="F16:F17"/>
    <mergeCell ref="C17:D17"/>
    <mergeCell ref="A18:A19"/>
    <mergeCell ref="B18:B19"/>
    <mergeCell ref="F18:F19"/>
    <mergeCell ref="A26:A27"/>
    <mergeCell ref="B26:B27"/>
    <mergeCell ref="F26:F27"/>
    <mergeCell ref="C27:D27"/>
    <mergeCell ref="A20:A21"/>
    <mergeCell ref="B20:B21"/>
    <mergeCell ref="F20:F21"/>
    <mergeCell ref="C21:D21"/>
    <mergeCell ref="C23:F23"/>
    <mergeCell ref="A24:A25"/>
    <mergeCell ref="A30:A31"/>
    <mergeCell ref="B30:B31"/>
    <mergeCell ref="F30:F31"/>
    <mergeCell ref="C31:D31"/>
    <mergeCell ref="A28:A29"/>
    <mergeCell ref="B28:B29"/>
    <mergeCell ref="F28:F29"/>
    <mergeCell ref="C29:D29"/>
    <mergeCell ref="A34:A35"/>
    <mergeCell ref="B34:B35"/>
    <mergeCell ref="F34:F35"/>
    <mergeCell ref="C35:D35"/>
    <mergeCell ref="A32:A33"/>
    <mergeCell ref="B32:B33"/>
    <mergeCell ref="F32:F33"/>
    <mergeCell ref="C33:D33"/>
    <mergeCell ref="A38:A39"/>
    <mergeCell ref="B38:B39"/>
    <mergeCell ref="F38:F39"/>
    <mergeCell ref="C39:D39"/>
    <mergeCell ref="A36:A37"/>
    <mergeCell ref="B36:B37"/>
    <mergeCell ref="F36:F37"/>
    <mergeCell ref="C37:D37"/>
    <mergeCell ref="A42:A43"/>
    <mergeCell ref="B42:B43"/>
    <mergeCell ref="F42:F43"/>
    <mergeCell ref="C43:D43"/>
    <mergeCell ref="A40:A41"/>
    <mergeCell ref="B40:B41"/>
    <mergeCell ref="F40:F41"/>
    <mergeCell ref="C41:D41"/>
    <mergeCell ref="A44:A45"/>
    <mergeCell ref="B44:B45"/>
    <mergeCell ref="F44:F45"/>
    <mergeCell ref="C45:D45"/>
    <mergeCell ref="A46:A47"/>
    <mergeCell ref="B46:B47"/>
    <mergeCell ref="F46:F47"/>
    <mergeCell ref="C47:D47"/>
    <mergeCell ref="A56:F56"/>
    <mergeCell ref="C57:E57"/>
    <mergeCell ref="B49:E49"/>
    <mergeCell ref="A50:F50"/>
    <mergeCell ref="B52:E52"/>
    <mergeCell ref="A53:F53"/>
    <mergeCell ref="A54:B55"/>
    <mergeCell ref="C54:E55"/>
    <mergeCell ref="A70:B70"/>
    <mergeCell ref="C70:E70"/>
    <mergeCell ref="C71:D71"/>
    <mergeCell ref="C72:D72"/>
    <mergeCell ref="C68:E68"/>
    <mergeCell ref="C58:E58"/>
    <mergeCell ref="C59:E59"/>
    <mergeCell ref="C64:E64"/>
    <mergeCell ref="C65:E65"/>
    <mergeCell ref="C62:E62"/>
    <mergeCell ref="C63:E63"/>
    <mergeCell ref="C60:E60"/>
    <mergeCell ref="C61:E61"/>
    <mergeCell ref="A66:B66"/>
    <mergeCell ref="C66:E66"/>
    <mergeCell ref="C69:E69"/>
    <mergeCell ref="C77:F77"/>
    <mergeCell ref="C73:E73"/>
    <mergeCell ref="A74:B74"/>
    <mergeCell ref="C74:E74"/>
    <mergeCell ref="A76:E76"/>
    <mergeCell ref="B75:E75"/>
    <mergeCell ref="C67:E67"/>
    <mergeCell ref="A78:B79"/>
    <mergeCell ref="C78:E79"/>
    <mergeCell ref="C84:E84"/>
    <mergeCell ref="A85:E85"/>
    <mergeCell ref="A80:F80"/>
    <mergeCell ref="C81:E81"/>
    <mergeCell ref="C82:E82"/>
    <mergeCell ref="C83:E8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35.421875" style="0" customWidth="1"/>
    <col min="4" max="4" width="11.421875" style="0" customWidth="1"/>
    <col min="5" max="5" width="14.00390625" style="0" customWidth="1"/>
    <col min="6" max="6" width="14.140625" style="0" customWidth="1"/>
  </cols>
  <sheetData>
    <row r="1" spans="1:6" ht="24">
      <c r="A1" s="2603" t="s">
        <v>163</v>
      </c>
      <c r="B1" s="2604"/>
      <c r="C1" s="2607" t="s">
        <v>818</v>
      </c>
      <c r="D1" s="2607"/>
      <c r="E1" s="2608"/>
      <c r="F1" s="1032" t="s">
        <v>819</v>
      </c>
    </row>
    <row r="2" spans="1:6" ht="13.5" thickBot="1">
      <c r="A2" s="2605"/>
      <c r="B2" s="2606"/>
      <c r="C2" s="2609"/>
      <c r="D2" s="2609"/>
      <c r="E2" s="2610"/>
      <c r="F2" s="1035" t="s">
        <v>1889</v>
      </c>
    </row>
    <row r="3" spans="1:6" ht="21" thickBot="1">
      <c r="A3" s="2698" t="s">
        <v>866</v>
      </c>
      <c r="B3" s="2699"/>
      <c r="C3" s="2699"/>
      <c r="D3" s="2699"/>
      <c r="E3" s="2699"/>
      <c r="F3" s="2700"/>
    </row>
    <row r="4" spans="1:6" ht="12.75">
      <c r="A4" s="1038" t="s">
        <v>821</v>
      </c>
      <c r="B4" s="1039" t="s">
        <v>822</v>
      </c>
      <c r="C4" s="2591" t="s">
        <v>511</v>
      </c>
      <c r="D4" s="2592"/>
      <c r="E4" s="2592"/>
      <c r="F4" s="1040"/>
    </row>
    <row r="5" spans="1:6" ht="13.5" thickBot="1">
      <c r="A5" s="1041">
        <v>51</v>
      </c>
      <c r="B5" s="1042"/>
      <c r="C5" s="2701" t="s">
        <v>242</v>
      </c>
      <c r="D5" s="2702"/>
      <c r="E5" s="1043"/>
      <c r="F5" s="1044"/>
    </row>
    <row r="6" spans="1:6" ht="12.75">
      <c r="A6" s="2614">
        <v>511112</v>
      </c>
      <c r="B6" s="2625">
        <v>511212</v>
      </c>
      <c r="C6" s="1045" t="s">
        <v>867</v>
      </c>
      <c r="D6" s="1046">
        <f>'Bérek könyvtár'!H69</f>
        <v>84600</v>
      </c>
      <c r="E6" s="1047">
        <f>D6*11</f>
        <v>930600</v>
      </c>
      <c r="F6" s="2627">
        <f>ROUND(SUM(E6:E7)/1000,4)</f>
        <v>1015.2</v>
      </c>
    </row>
    <row r="7" spans="1:6" ht="13.5" thickBot="1">
      <c r="A7" s="2658"/>
      <c r="B7" s="2659"/>
      <c r="C7" s="2696" t="s">
        <v>824</v>
      </c>
      <c r="D7" s="2697"/>
      <c r="E7" s="1048">
        <f>'Bérek könyvtár'!F69</f>
        <v>84600</v>
      </c>
      <c r="F7" s="2695"/>
    </row>
    <row r="8" spans="1:6" ht="12.75">
      <c r="A8" s="2614">
        <v>511152</v>
      </c>
      <c r="B8" s="2625">
        <v>511252</v>
      </c>
      <c r="C8" s="2631" t="s">
        <v>868</v>
      </c>
      <c r="D8" s="2631"/>
      <c r="E8" s="1051"/>
      <c r="F8" s="2627">
        <f>ROUND(E9/1000,3)</f>
        <v>0</v>
      </c>
    </row>
    <row r="9" spans="1:6" ht="12.75">
      <c r="A9" s="2658"/>
      <c r="B9" s="2659"/>
      <c r="C9" s="1053" t="s">
        <v>869</v>
      </c>
      <c r="D9" s="1054">
        <f>'Bérek könyvtár'!M69</f>
        <v>0</v>
      </c>
      <c r="E9" s="1055">
        <f>D9*2</f>
        <v>0</v>
      </c>
      <c r="F9" s="2695"/>
    </row>
    <row r="10" spans="1:6" ht="13.5" thickBot="1">
      <c r="A10" s="1056">
        <v>513132</v>
      </c>
      <c r="B10" s="1057">
        <v>513232</v>
      </c>
      <c r="C10" s="2590" t="s">
        <v>831</v>
      </c>
      <c r="D10" s="2590"/>
      <c r="E10" s="2619"/>
      <c r="F10" s="1059">
        <v>0</v>
      </c>
    </row>
    <row r="11" spans="1:6" ht="12.75">
      <c r="A11" s="2614">
        <v>516112</v>
      </c>
      <c r="B11" s="2625">
        <v>516212</v>
      </c>
      <c r="C11" s="1045" t="s">
        <v>870</v>
      </c>
      <c r="D11" s="1046">
        <f>'Bérek könyvtár'!H75</f>
        <v>0</v>
      </c>
      <c r="E11" s="1047">
        <f>D11*11</f>
        <v>0</v>
      </c>
      <c r="F11" s="2627">
        <f>ROUND(SUM(E11:E12)/1000,3)</f>
        <v>61.8</v>
      </c>
    </row>
    <row r="12" spans="1:6" ht="12.75">
      <c r="A12" s="2658"/>
      <c r="B12" s="2659"/>
      <c r="C12" s="2696" t="s">
        <v>824</v>
      </c>
      <c r="D12" s="2697"/>
      <c r="E12" s="1048">
        <f>'Bérek könyvtár'!F75</f>
        <v>61800</v>
      </c>
      <c r="F12" s="2695"/>
    </row>
    <row r="13" spans="1:6" ht="13.5" thickBot="1">
      <c r="A13" s="1060">
        <v>51317</v>
      </c>
      <c r="B13" s="1060">
        <v>51327</v>
      </c>
      <c r="C13" s="2686" t="s">
        <v>871</v>
      </c>
      <c r="D13" s="2687"/>
      <c r="E13" s="2688"/>
      <c r="F13" s="1061">
        <v>45</v>
      </c>
    </row>
    <row r="14" spans="1:6" ht="18.75" thickBot="1">
      <c r="A14" s="1064">
        <v>51</v>
      </c>
      <c r="B14" s="2689" t="s">
        <v>836</v>
      </c>
      <c r="C14" s="2690"/>
      <c r="D14" s="2690"/>
      <c r="E14" s="2691"/>
      <c r="F14" s="1065">
        <f>SUM(F6:F13)</f>
        <v>1122</v>
      </c>
    </row>
    <row r="15" spans="1:6" ht="16.5" thickBot="1">
      <c r="A15" s="2692" t="s">
        <v>837</v>
      </c>
      <c r="B15" s="2692"/>
      <c r="C15" s="2692"/>
      <c r="D15" s="2692"/>
      <c r="E15" s="2692"/>
      <c r="F15" s="2692"/>
    </row>
    <row r="16" spans="1:6" ht="12.75">
      <c r="A16" s="1068">
        <v>53112</v>
      </c>
      <c r="B16" s="1069">
        <v>53122</v>
      </c>
      <c r="C16" s="1070" t="s">
        <v>838</v>
      </c>
      <c r="D16" s="1071">
        <f>SUM(F6:F9,F11:F13)</f>
        <v>1122</v>
      </c>
      <c r="E16" s="1072" t="s">
        <v>839</v>
      </c>
      <c r="F16" s="1073">
        <f>D16*0.27</f>
        <v>302.94</v>
      </c>
    </row>
    <row r="17" spans="1:6" ht="18.75" thickBot="1">
      <c r="A17" s="1064">
        <v>53</v>
      </c>
      <c r="B17" s="2600" t="s">
        <v>840</v>
      </c>
      <c r="C17" s="2601"/>
      <c r="D17" s="2601"/>
      <c r="E17" s="2602"/>
      <c r="F17" s="1065">
        <f>SUM(F16:F16)</f>
        <v>302.94</v>
      </c>
    </row>
    <row r="18" spans="1:6" ht="18.75" thickBot="1">
      <c r="A18" s="1076"/>
      <c r="B18" s="1077"/>
      <c r="C18" s="1077"/>
      <c r="D18" s="1077"/>
      <c r="E18" s="1077"/>
      <c r="F18" s="1078"/>
    </row>
    <row r="19" spans="1:6" ht="24">
      <c r="A19" s="2603" t="s">
        <v>163</v>
      </c>
      <c r="B19" s="2604"/>
      <c r="C19" s="2607" t="s">
        <v>818</v>
      </c>
      <c r="D19" s="2607"/>
      <c r="E19" s="2608"/>
      <c r="F19" s="1032" t="s">
        <v>819</v>
      </c>
    </row>
    <row r="20" spans="1:6" ht="12.75">
      <c r="A20" s="2605"/>
      <c r="B20" s="2606"/>
      <c r="C20" s="2609"/>
      <c r="D20" s="2609"/>
      <c r="E20" s="2610"/>
      <c r="F20" s="1035" t="s">
        <v>1889</v>
      </c>
    </row>
    <row r="21" spans="1:6" ht="13.5" thickBot="1">
      <c r="A21" s="1041" t="s">
        <v>841</v>
      </c>
      <c r="B21" s="1042"/>
      <c r="C21" s="2593" t="s">
        <v>842</v>
      </c>
      <c r="D21" s="2594"/>
      <c r="E21" s="2655"/>
      <c r="F21" s="1044"/>
    </row>
    <row r="22" spans="1:6" ht="12.75">
      <c r="A22" s="1068">
        <v>5431</v>
      </c>
      <c r="B22" s="1069">
        <v>5432</v>
      </c>
      <c r="C22" s="2693" t="s">
        <v>1472</v>
      </c>
      <c r="D22" s="2694"/>
      <c r="E22" s="2694"/>
      <c r="F22" s="1079">
        <v>0</v>
      </c>
    </row>
    <row r="23" spans="1:6" ht="12.75">
      <c r="A23" s="1080">
        <v>54711</v>
      </c>
      <c r="B23" s="1081">
        <v>54721</v>
      </c>
      <c r="C23" s="2584" t="s">
        <v>872</v>
      </c>
      <c r="D23" s="2654"/>
      <c r="E23" s="2654"/>
      <c r="F23" s="1082"/>
    </row>
    <row r="24" spans="1:6" ht="12.75">
      <c r="A24" s="1080">
        <v>5481</v>
      </c>
      <c r="B24" s="1081">
        <v>5482</v>
      </c>
      <c r="C24" s="2584" t="s">
        <v>1273</v>
      </c>
      <c r="D24" s="2654"/>
      <c r="E24" s="2654"/>
      <c r="F24" s="1082"/>
    </row>
    <row r="25" spans="1:6" ht="12.75">
      <c r="A25" s="1080">
        <v>5491</v>
      </c>
      <c r="B25" s="1081">
        <v>5492</v>
      </c>
      <c r="C25" s="2584" t="s">
        <v>847</v>
      </c>
      <c r="D25" s="2654"/>
      <c r="E25" s="2654"/>
      <c r="F25" s="1082">
        <v>30</v>
      </c>
    </row>
    <row r="26" spans="1:6" ht="12.75">
      <c r="A26" s="1080"/>
      <c r="B26" s="1083"/>
      <c r="C26" s="2587" t="s">
        <v>848</v>
      </c>
      <c r="D26" s="2585"/>
      <c r="E26" s="2585"/>
      <c r="F26" s="1084">
        <f>SUM(F22:F25)</f>
        <v>30</v>
      </c>
    </row>
    <row r="27" spans="1:6" ht="12.75">
      <c r="A27" s="1080">
        <v>55111</v>
      </c>
      <c r="B27" s="1081">
        <v>55121</v>
      </c>
      <c r="C27" s="2584" t="s">
        <v>849</v>
      </c>
      <c r="D27" s="2654"/>
      <c r="E27" s="2654"/>
      <c r="F27" s="1082">
        <v>40</v>
      </c>
    </row>
    <row r="28" spans="1:6" ht="12.75">
      <c r="A28" s="1080">
        <v>55112</v>
      </c>
      <c r="B28" s="1081">
        <v>55122</v>
      </c>
      <c r="C28" s="2584" t="s">
        <v>873</v>
      </c>
      <c r="D28" s="2654"/>
      <c r="E28" s="2654"/>
      <c r="F28" s="1082">
        <v>30</v>
      </c>
    </row>
    <row r="29" spans="1:6" ht="12.75">
      <c r="A29" s="1080">
        <v>55214</v>
      </c>
      <c r="B29" s="1081">
        <v>55224</v>
      </c>
      <c r="C29" s="2570" t="s">
        <v>851</v>
      </c>
      <c r="D29" s="2571"/>
      <c r="E29" s="2586"/>
      <c r="F29" s="1082">
        <v>800</v>
      </c>
    </row>
    <row r="30" spans="1:6" ht="12.75">
      <c r="A30" s="1080">
        <v>55215</v>
      </c>
      <c r="B30" s="1081">
        <v>55225</v>
      </c>
      <c r="C30" s="2570" t="s">
        <v>852</v>
      </c>
      <c r="D30" s="2571"/>
      <c r="E30" s="2586"/>
      <c r="F30" s="1082">
        <v>130</v>
      </c>
    </row>
    <row r="31" spans="1:6" ht="12.75">
      <c r="A31" s="1080">
        <v>55217</v>
      </c>
      <c r="B31" s="1081">
        <v>55227</v>
      </c>
      <c r="C31" s="2570" t="s">
        <v>853</v>
      </c>
      <c r="D31" s="2685"/>
      <c r="E31" s="2572"/>
      <c r="F31" s="1082">
        <v>20</v>
      </c>
    </row>
    <row r="32" spans="1:6" ht="12.75">
      <c r="A32" s="1080">
        <v>55218</v>
      </c>
      <c r="B32" s="1081">
        <v>55228</v>
      </c>
      <c r="C32" s="2584" t="s">
        <v>854</v>
      </c>
      <c r="D32" s="2654"/>
      <c r="E32" s="2654"/>
      <c r="F32" s="1082"/>
    </row>
    <row r="33" spans="1:6" ht="12.75">
      <c r="A33" s="1080">
        <v>55219</v>
      </c>
      <c r="B33" s="1081">
        <v>55229</v>
      </c>
      <c r="C33" s="2584" t="s">
        <v>874</v>
      </c>
      <c r="D33" s="2654"/>
      <c r="E33" s="2654"/>
      <c r="F33" s="1082">
        <v>20</v>
      </c>
    </row>
    <row r="34" spans="1:6" ht="12.75">
      <c r="A34" s="1080">
        <v>5531</v>
      </c>
      <c r="B34" s="1081">
        <v>5532</v>
      </c>
      <c r="C34" s="2584" t="s">
        <v>857</v>
      </c>
      <c r="D34" s="2654"/>
      <c r="E34" s="2654"/>
      <c r="F34" s="1082"/>
    </row>
    <row r="35" spans="1:6" ht="12.75">
      <c r="A35" s="1080"/>
      <c r="B35" s="1083"/>
      <c r="C35" s="2587" t="s">
        <v>858</v>
      </c>
      <c r="D35" s="2585"/>
      <c r="E35" s="2585"/>
      <c r="F35" s="1084">
        <f>SUM(F27:F34)</f>
        <v>1040</v>
      </c>
    </row>
    <row r="36" spans="1:6" ht="12.75">
      <c r="A36" s="1086">
        <v>56112</v>
      </c>
      <c r="B36" s="1081">
        <v>56122</v>
      </c>
      <c r="C36" s="2590" t="s">
        <v>859</v>
      </c>
      <c r="D36" s="2585"/>
      <c r="E36" s="1087">
        <v>0.25</v>
      </c>
      <c r="F36" s="1088">
        <f>SUM(F22:F25,F27:F34)*0.25</f>
        <v>267.5</v>
      </c>
    </row>
    <row r="37" spans="1:6" ht="12.75">
      <c r="A37" s="1080">
        <v>56211</v>
      </c>
      <c r="B37" s="1081">
        <v>56221</v>
      </c>
      <c r="C37" s="2584" t="s">
        <v>1400</v>
      </c>
      <c r="D37" s="2654"/>
      <c r="E37" s="2654"/>
      <c r="F37" s="1088">
        <v>0</v>
      </c>
    </row>
    <row r="38" spans="1:6" ht="12.75">
      <c r="A38" s="1080">
        <v>56213</v>
      </c>
      <c r="B38" s="1081">
        <v>56223</v>
      </c>
      <c r="C38" s="2584" t="s">
        <v>1401</v>
      </c>
      <c r="D38" s="2654"/>
      <c r="E38" s="2654"/>
      <c r="F38" s="1088">
        <v>0</v>
      </c>
    </row>
    <row r="39" spans="1:6" ht="12.75">
      <c r="A39" s="1090">
        <v>57119</v>
      </c>
      <c r="B39" s="1091">
        <v>57129</v>
      </c>
      <c r="C39" s="2683" t="s">
        <v>875</v>
      </c>
      <c r="D39" s="2684"/>
      <c r="E39" s="2684"/>
      <c r="F39" s="1092">
        <v>0</v>
      </c>
    </row>
    <row r="40" spans="1:6" ht="12.75">
      <c r="A40" s="1094"/>
      <c r="B40" s="1083"/>
      <c r="C40" s="2587" t="s">
        <v>876</v>
      </c>
      <c r="D40" s="2585"/>
      <c r="E40" s="2585"/>
      <c r="F40" s="1084">
        <f>SUM(F36:F39)</f>
        <v>267.5</v>
      </c>
    </row>
    <row r="41" spans="1:6" ht="18.75" thickBot="1">
      <c r="A41" s="1095" t="s">
        <v>841</v>
      </c>
      <c r="B41" s="2681" t="s">
        <v>877</v>
      </c>
      <c r="C41" s="2681"/>
      <c r="D41" s="2681"/>
      <c r="E41" s="2681"/>
      <c r="F41" s="1096">
        <f>SUM(F22:F25,F27:F34,F36:F39)</f>
        <v>1337.5</v>
      </c>
    </row>
    <row r="42" spans="1:6" ht="23.25">
      <c r="A42" s="2682" t="s">
        <v>878</v>
      </c>
      <c r="B42" s="2682"/>
      <c r="C42" s="2682"/>
      <c r="D42" s="2682"/>
      <c r="E42" s="2682"/>
      <c r="F42" s="1098">
        <f>SUM(F14,F17,F41)</f>
        <v>2762.44</v>
      </c>
    </row>
  </sheetData>
  <sheetProtection/>
  <mergeCells count="46">
    <mergeCell ref="C5:D5"/>
    <mergeCell ref="A6:A7"/>
    <mergeCell ref="B6:B7"/>
    <mergeCell ref="F6:F7"/>
    <mergeCell ref="C7:D7"/>
    <mergeCell ref="A1:B2"/>
    <mergeCell ref="C1:E2"/>
    <mergeCell ref="A3:F3"/>
    <mergeCell ref="C4:E4"/>
    <mergeCell ref="C10:E10"/>
    <mergeCell ref="A11:A12"/>
    <mergeCell ref="B11:B12"/>
    <mergeCell ref="F11:F12"/>
    <mergeCell ref="C12:D12"/>
    <mergeCell ref="A8:A9"/>
    <mergeCell ref="B8:B9"/>
    <mergeCell ref="C8:D8"/>
    <mergeCell ref="F8:F9"/>
    <mergeCell ref="C25:E25"/>
    <mergeCell ref="C26:E26"/>
    <mergeCell ref="C13:E13"/>
    <mergeCell ref="B14:E14"/>
    <mergeCell ref="A15:F15"/>
    <mergeCell ref="B17:E17"/>
    <mergeCell ref="A19:B20"/>
    <mergeCell ref="C19:E20"/>
    <mergeCell ref="C21:E21"/>
    <mergeCell ref="C22:E22"/>
    <mergeCell ref="C23:E23"/>
    <mergeCell ref="C24:E24"/>
    <mergeCell ref="C37:E37"/>
    <mergeCell ref="C38:E38"/>
    <mergeCell ref="C27:E27"/>
    <mergeCell ref="C28:E28"/>
    <mergeCell ref="C29:E29"/>
    <mergeCell ref="C30:E30"/>
    <mergeCell ref="C31:E31"/>
    <mergeCell ref="C32:E32"/>
    <mergeCell ref="B41:E41"/>
    <mergeCell ref="A42:E42"/>
    <mergeCell ref="C33:E33"/>
    <mergeCell ref="C34:E34"/>
    <mergeCell ref="C35:E35"/>
    <mergeCell ref="C36:D36"/>
    <mergeCell ref="C39:E39"/>
    <mergeCell ref="C40:E40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57"/>
  </sheetPr>
  <dimension ref="A1:U77"/>
  <sheetViews>
    <sheetView zoomScalePageLayoutView="0" workbookViewId="0" topLeftCell="A1">
      <selection activeCell="H2" sqref="H2:J2"/>
    </sheetView>
  </sheetViews>
  <sheetFormatPr defaultColWidth="9.140625" defaultRowHeight="12.75"/>
  <cols>
    <col min="1" max="1" width="7.421875" style="1089" customWidth="1"/>
    <col min="2" max="3" width="7.140625" style="1089" customWidth="1"/>
    <col min="4" max="4" width="9.28125" style="1089" customWidth="1"/>
    <col min="5" max="5" width="6.8515625" style="1089" customWidth="1"/>
    <col min="6" max="6" width="12.421875" style="1089" customWidth="1"/>
    <col min="7" max="7" width="0.2890625" style="1089" customWidth="1"/>
    <col min="8" max="8" width="11.00390625" style="1089" customWidth="1"/>
    <col min="9" max="10" width="9.7109375" style="1089" customWidth="1"/>
    <col min="11" max="11" width="8.8515625" style="1089" customWidth="1"/>
    <col min="12" max="12" width="8.28125" style="1089" customWidth="1"/>
    <col min="13" max="13" width="9.57421875" style="1089" customWidth="1"/>
    <col min="14" max="14" width="8.00390625" style="1089" customWidth="1"/>
    <col min="15" max="15" width="11.57421875" style="1089" customWidth="1"/>
    <col min="16" max="16384" width="9.140625" style="1089" customWidth="1"/>
  </cols>
  <sheetData>
    <row r="1" spans="1:15" ht="28.5" customHeight="1">
      <c r="A1" s="2797" t="s">
        <v>1915</v>
      </c>
      <c r="B1" s="2797"/>
      <c r="C1" s="2797"/>
      <c r="D1" s="2797"/>
      <c r="E1" s="2797"/>
      <c r="F1" s="2797"/>
      <c r="G1" s="2797"/>
      <c r="H1" s="2797"/>
      <c r="I1" s="2797"/>
      <c r="J1" s="2797"/>
      <c r="K1" s="2797"/>
      <c r="L1" s="2797"/>
      <c r="M1" s="2797"/>
      <c r="N1" s="2797"/>
      <c r="O1" s="2797"/>
    </row>
    <row r="2" spans="1:15" ht="37.5" customHeight="1" thickBot="1">
      <c r="A2" s="2791" t="s">
        <v>1916</v>
      </c>
      <c r="B2" s="2792"/>
      <c r="C2" s="2792"/>
      <c r="D2" s="2792"/>
      <c r="E2" s="2792"/>
      <c r="H2" s="2793" t="s">
        <v>1917</v>
      </c>
      <c r="I2" s="2793"/>
      <c r="J2" s="2793"/>
      <c r="K2" s="1063"/>
      <c r="L2" s="1063"/>
      <c r="M2" s="1063"/>
      <c r="N2" s="1063"/>
      <c r="O2" s="1063"/>
    </row>
    <row r="3" spans="6:15" ht="13.5" thickBot="1">
      <c r="F3" s="2738"/>
      <c r="G3" s="2739"/>
      <c r="H3" s="2740"/>
      <c r="I3" s="1284" t="s">
        <v>1918</v>
      </c>
      <c r="J3" s="1285" t="s">
        <v>1919</v>
      </c>
      <c r="K3" s="1285" t="s">
        <v>1920</v>
      </c>
      <c r="L3" s="1286" t="s">
        <v>1085</v>
      </c>
      <c r="O3" s="1063"/>
    </row>
    <row r="4" spans="1:15" ht="12.75">
      <c r="A4" s="2786" t="s">
        <v>1921</v>
      </c>
      <c r="B4" s="2787"/>
      <c r="C4" s="1287">
        <v>20000</v>
      </c>
      <c r="F4" s="2744" t="s">
        <v>1922</v>
      </c>
      <c r="G4" s="2745"/>
      <c r="H4" s="2746"/>
      <c r="I4" s="1288">
        <v>4</v>
      </c>
      <c r="J4" s="1289"/>
      <c r="K4" s="1290"/>
      <c r="L4" s="1291">
        <v>4</v>
      </c>
      <c r="O4" s="1063"/>
    </row>
    <row r="5" spans="6:15" ht="12.75">
      <c r="F5" s="2741" t="s">
        <v>1923</v>
      </c>
      <c r="G5" s="2742" t="s">
        <v>1923</v>
      </c>
      <c r="H5" s="2743"/>
      <c r="I5" s="1292"/>
      <c r="J5" s="1293"/>
      <c r="K5" s="1294"/>
      <c r="L5" s="1295"/>
      <c r="O5" s="1063"/>
    </row>
    <row r="6" spans="6:13" ht="13.5" thickBot="1">
      <c r="F6" s="2759" t="s">
        <v>1924</v>
      </c>
      <c r="G6" s="2760" t="s">
        <v>1924</v>
      </c>
      <c r="H6" s="2761"/>
      <c r="I6" s="1296"/>
      <c r="J6" s="1297">
        <v>1</v>
      </c>
      <c r="K6" s="1298"/>
      <c r="L6" s="1299">
        <v>0.75</v>
      </c>
      <c r="M6" s="1300"/>
    </row>
    <row r="7" spans="6:15" ht="13.5" thickBot="1">
      <c r="F7" s="2794" t="s">
        <v>1433</v>
      </c>
      <c r="G7" s="2795" t="s">
        <v>1923</v>
      </c>
      <c r="H7" s="2796"/>
      <c r="I7" s="1301">
        <v>4</v>
      </c>
      <c r="J7" s="1302">
        <v>0.75</v>
      </c>
      <c r="K7" s="1303"/>
      <c r="L7" s="1304">
        <v>4.75</v>
      </c>
      <c r="O7" s="1063"/>
    </row>
    <row r="8" spans="6:15" ht="44.25" customHeight="1" thickBot="1">
      <c r="F8" s="2798" t="s">
        <v>1925</v>
      </c>
      <c r="G8" s="2798"/>
      <c r="H8" s="2798"/>
      <c r="I8" s="2798"/>
      <c r="J8" s="2798"/>
      <c r="K8" s="2798"/>
      <c r="L8" s="2798"/>
      <c r="O8" s="1063"/>
    </row>
    <row r="9" spans="6:15" ht="13.5" thickBot="1">
      <c r="F9" s="2738"/>
      <c r="G9" s="2739"/>
      <c r="H9" s="2740"/>
      <c r="I9" s="1284" t="s">
        <v>1918</v>
      </c>
      <c r="J9" s="1285" t="s">
        <v>1919</v>
      </c>
      <c r="K9" s="1285" t="s">
        <v>1920</v>
      </c>
      <c r="L9" s="1286" t="s">
        <v>1085</v>
      </c>
      <c r="O9" s="1063"/>
    </row>
    <row r="10" spans="1:15" ht="12.75">
      <c r="A10" s="2786"/>
      <c r="B10" s="2787"/>
      <c r="C10" s="1287"/>
      <c r="F10" s="2744" t="s">
        <v>1922</v>
      </c>
      <c r="G10" s="2745"/>
      <c r="H10" s="2746"/>
      <c r="I10" s="1288">
        <v>1</v>
      </c>
      <c r="J10" s="1289"/>
      <c r="K10" s="1290"/>
      <c r="L10" s="1291">
        <v>1</v>
      </c>
      <c r="O10" s="1063"/>
    </row>
    <row r="11" spans="6:15" ht="12.75">
      <c r="F11" s="2741" t="s">
        <v>1923</v>
      </c>
      <c r="G11" s="2742" t="s">
        <v>1923</v>
      </c>
      <c r="H11" s="2743"/>
      <c r="I11" s="1292">
        <v>1</v>
      </c>
      <c r="J11" s="1293"/>
      <c r="K11" s="1294">
        <v>3</v>
      </c>
      <c r="L11" s="1295">
        <v>2.5</v>
      </c>
      <c r="O11" s="1063"/>
    </row>
    <row r="12" spans="6:13" ht="13.5" thickBot="1">
      <c r="F12" s="2759" t="s">
        <v>1924</v>
      </c>
      <c r="G12" s="2760" t="s">
        <v>1924</v>
      </c>
      <c r="H12" s="2761"/>
      <c r="I12" s="1296"/>
      <c r="J12" s="1297"/>
      <c r="K12" s="1298"/>
      <c r="L12" s="1299"/>
      <c r="M12" s="1300"/>
    </row>
    <row r="13" spans="6:15" ht="13.5" thickBot="1">
      <c r="F13" s="2794" t="s">
        <v>1433</v>
      </c>
      <c r="G13" s="2795" t="s">
        <v>1923</v>
      </c>
      <c r="H13" s="2796"/>
      <c r="I13" s="1301">
        <v>2</v>
      </c>
      <c r="J13" s="1302"/>
      <c r="K13" s="1303">
        <v>1.5</v>
      </c>
      <c r="L13" s="1304">
        <v>3.5</v>
      </c>
      <c r="O13" s="1063"/>
    </row>
    <row r="14" spans="6:15" ht="12.75">
      <c r="F14" s="1305"/>
      <c r="G14" s="1306"/>
      <c r="H14" s="1306"/>
      <c r="I14" s="1307"/>
      <c r="J14" s="1307"/>
      <c r="K14" s="1308"/>
      <c r="L14" s="1309"/>
      <c r="O14" s="1063"/>
    </row>
    <row r="15" spans="1:15" ht="43.5" customHeight="1" thickBot="1">
      <c r="A15" s="2714" t="s">
        <v>1926</v>
      </c>
      <c r="B15" s="2714"/>
      <c r="C15" s="2714"/>
      <c r="D15" s="2714"/>
      <c r="E15" s="2714"/>
      <c r="F15" s="2714"/>
      <c r="G15" s="2714"/>
      <c r="H15" s="2714"/>
      <c r="I15" s="2714"/>
      <c r="J15" s="2714"/>
      <c r="K15" s="2714"/>
      <c r="L15" s="2714"/>
      <c r="M15" s="2714"/>
      <c r="N15" s="2714"/>
      <c r="O15" s="2714"/>
    </row>
    <row r="16" spans="1:15" s="1310" customFormat="1" ht="15.75" customHeight="1">
      <c r="A16" s="2735" t="s">
        <v>1776</v>
      </c>
      <c r="B16" s="2747" t="s">
        <v>1927</v>
      </c>
      <c r="C16" s="2748"/>
      <c r="D16" s="2767" t="s">
        <v>1928</v>
      </c>
      <c r="E16" s="2712" t="s">
        <v>1929</v>
      </c>
      <c r="F16" s="2723" t="s">
        <v>1930</v>
      </c>
      <c r="G16" s="2723"/>
      <c r="H16" s="2750" t="s">
        <v>1275</v>
      </c>
      <c r="I16" s="2751"/>
      <c r="J16" s="2752"/>
      <c r="K16" s="2725" t="s">
        <v>1931</v>
      </c>
      <c r="L16" s="2725"/>
      <c r="M16" s="2720" t="s">
        <v>1932</v>
      </c>
      <c r="N16" s="2720"/>
      <c r="O16" s="2733" t="s">
        <v>1433</v>
      </c>
    </row>
    <row r="17" spans="1:15" s="1310" customFormat="1" ht="39" customHeight="1" thickBot="1">
      <c r="A17" s="2736"/>
      <c r="B17" s="1311" t="s">
        <v>1933</v>
      </c>
      <c r="C17" s="1312" t="s">
        <v>1934</v>
      </c>
      <c r="D17" s="2768"/>
      <c r="E17" s="2713"/>
      <c r="F17" s="2769"/>
      <c r="G17" s="2724"/>
      <c r="H17" s="1313" t="s">
        <v>1935</v>
      </c>
      <c r="I17" s="1314" t="s">
        <v>1936</v>
      </c>
      <c r="J17" s="1315" t="s">
        <v>1433</v>
      </c>
      <c r="K17" s="1314" t="s">
        <v>1937</v>
      </c>
      <c r="L17" s="1314" t="s">
        <v>1301</v>
      </c>
      <c r="M17" s="1313" t="s">
        <v>1938</v>
      </c>
      <c r="N17" s="1314" t="s">
        <v>1301</v>
      </c>
      <c r="O17" s="2734"/>
    </row>
    <row r="18" spans="1:15" ht="15" customHeight="1">
      <c r="A18" s="1316" t="s">
        <v>587</v>
      </c>
      <c r="B18" s="1317" t="s">
        <v>1939</v>
      </c>
      <c r="C18" s="1317">
        <v>11</v>
      </c>
      <c r="D18" s="1318" t="s">
        <v>1940</v>
      </c>
      <c r="E18" s="1318" t="s">
        <v>1941</v>
      </c>
      <c r="F18" s="1319">
        <v>225100</v>
      </c>
      <c r="G18" s="1319"/>
      <c r="H18" s="1319">
        <v>225100</v>
      </c>
      <c r="I18" s="1320">
        <f>H18*11</f>
        <v>2476100</v>
      </c>
      <c r="J18" s="1321">
        <f>SUM(F18,I18)</f>
        <v>2701200</v>
      </c>
      <c r="K18" s="1322"/>
      <c r="L18" s="1320"/>
      <c r="M18" s="1323">
        <f>C4*2.25</f>
        <v>45000</v>
      </c>
      <c r="N18" s="1320">
        <f>M18*12</f>
        <v>540000</v>
      </c>
      <c r="O18" s="1324">
        <f>SUM(J18,L18,N18)</f>
        <v>3241200</v>
      </c>
    </row>
    <row r="19" spans="1:15" ht="15" customHeight="1">
      <c r="A19" s="1325" t="s">
        <v>588</v>
      </c>
      <c r="B19" s="1326" t="s">
        <v>1942</v>
      </c>
      <c r="C19" s="1326">
        <v>2</v>
      </c>
      <c r="D19" s="1327" t="s">
        <v>789</v>
      </c>
      <c r="E19" s="1328" t="s">
        <v>790</v>
      </c>
      <c r="F19" s="1329">
        <v>126300</v>
      </c>
      <c r="G19" s="1329"/>
      <c r="H19" s="1329">
        <f>'[1]Illetménytábla'!F2</f>
        <v>126300</v>
      </c>
      <c r="I19" s="1330">
        <f>H19*11</f>
        <v>1389300</v>
      </c>
      <c r="J19" s="1331">
        <f>SUM(F19,I19)</f>
        <v>1515600</v>
      </c>
      <c r="K19" s="1332"/>
      <c r="L19" s="1333"/>
      <c r="M19" s="1332"/>
      <c r="N19" s="1333"/>
      <c r="O19" s="1334">
        <f>SUM(J19,N19,L19)</f>
        <v>1515600</v>
      </c>
    </row>
    <row r="20" spans="1:15" ht="15" customHeight="1">
      <c r="A20" s="1325" t="s">
        <v>589</v>
      </c>
      <c r="B20" s="1326" t="s">
        <v>1942</v>
      </c>
      <c r="C20" s="1326">
        <v>14</v>
      </c>
      <c r="D20" s="1327" t="s">
        <v>791</v>
      </c>
      <c r="E20" s="1328"/>
      <c r="F20" s="1329">
        <v>196100</v>
      </c>
      <c r="G20" s="1329"/>
      <c r="H20" s="1329">
        <f>'[1]Illetménytábla'!F14</f>
        <v>196100</v>
      </c>
      <c r="I20" s="1329">
        <f>H20*11</f>
        <v>2157100</v>
      </c>
      <c r="J20" s="1331">
        <f>SUM(F20,I20)</f>
        <v>2353200</v>
      </c>
      <c r="K20" s="1332"/>
      <c r="L20" s="1333"/>
      <c r="M20" s="1332"/>
      <c r="N20" s="1333"/>
      <c r="O20" s="1334">
        <f>SUM(J20,N20,L20)</f>
        <v>2353200</v>
      </c>
    </row>
    <row r="21" spans="1:15" ht="15" customHeight="1">
      <c r="A21" s="1325" t="s">
        <v>1459</v>
      </c>
      <c r="B21" s="1335" t="s">
        <v>1942</v>
      </c>
      <c r="C21" s="1335">
        <v>3</v>
      </c>
      <c r="D21" s="1327" t="s">
        <v>792</v>
      </c>
      <c r="E21" s="1327" t="s">
        <v>790</v>
      </c>
      <c r="F21" s="1336">
        <v>130800</v>
      </c>
      <c r="G21" s="1336"/>
      <c r="H21" s="1336">
        <f>'[1]Illetménytábla'!F3</f>
        <v>130800</v>
      </c>
      <c r="I21" s="1329">
        <f>H21*11</f>
        <v>1438800</v>
      </c>
      <c r="J21" s="1331">
        <f>SUM(F21,I21)</f>
        <v>1569600</v>
      </c>
      <c r="K21" s="1333"/>
      <c r="L21" s="1333"/>
      <c r="M21" s="1332"/>
      <c r="N21" s="1333"/>
      <c r="O21" s="1334">
        <f>SUM(J21,N21,L21)</f>
        <v>1569600</v>
      </c>
    </row>
    <row r="22" spans="1:15" ht="15" customHeight="1" thickBot="1">
      <c r="A22" s="1337" t="s">
        <v>1443</v>
      </c>
      <c r="B22" s="1338" t="s">
        <v>793</v>
      </c>
      <c r="C22" s="1338">
        <v>9</v>
      </c>
      <c r="D22" s="1339" t="s">
        <v>794</v>
      </c>
      <c r="E22" s="1339" t="s">
        <v>790</v>
      </c>
      <c r="F22" s="1340">
        <v>71800</v>
      </c>
      <c r="G22" s="1340"/>
      <c r="H22" s="1336">
        <f>ROUND('[1]Illetménytábla'!B11*6/8,-2)</f>
        <v>71800</v>
      </c>
      <c r="I22" s="1341">
        <f>H22*11</f>
        <v>789800</v>
      </c>
      <c r="J22" s="1342">
        <f>SUM(F22,I22)</f>
        <v>861600</v>
      </c>
      <c r="K22" s="1343"/>
      <c r="L22" s="1343"/>
      <c r="M22" s="1343"/>
      <c r="N22" s="1343"/>
      <c r="O22" s="1344">
        <f>J22</f>
        <v>861600</v>
      </c>
    </row>
    <row r="23" spans="1:15" s="1138" customFormat="1" ht="15" customHeight="1" thickBot="1">
      <c r="A23" s="2756" t="s">
        <v>1433</v>
      </c>
      <c r="B23" s="2757"/>
      <c r="C23" s="2757"/>
      <c r="D23" s="2757"/>
      <c r="E23" s="2758"/>
      <c r="F23" s="1345">
        <f>SUM(F18:F22)</f>
        <v>750100</v>
      </c>
      <c r="G23" s="1345"/>
      <c r="H23" s="1346"/>
      <c r="I23" s="1345">
        <f>SUM(I18:I22)</f>
        <v>8251100</v>
      </c>
      <c r="J23" s="1345">
        <f>SUM(J18:J22)</f>
        <v>9001200</v>
      </c>
      <c r="K23" s="2765">
        <f>SUM(L18:L22)</f>
        <v>0</v>
      </c>
      <c r="L23" s="2766"/>
      <c r="M23" s="2765">
        <f>SUM(N18:N22)</f>
        <v>540000</v>
      </c>
      <c r="N23" s="2766"/>
      <c r="O23" s="1345">
        <f>SUM(O18:O22)</f>
        <v>9541200</v>
      </c>
    </row>
    <row r="24" spans="1:12" ht="20.25" customHeight="1">
      <c r="A24" s="2788" t="s">
        <v>795</v>
      </c>
      <c r="B24" s="2789"/>
      <c r="C24" s="2789"/>
      <c r="D24" s="2789"/>
      <c r="E24" s="2789"/>
      <c r="F24" s="2789"/>
      <c r="G24" s="2789"/>
      <c r="H24" s="2789"/>
      <c r="I24" s="1207"/>
      <c r="K24" s="1348"/>
      <c r="L24" s="1348"/>
    </row>
    <row r="25" spans="1:15" ht="35.25" customHeight="1" thickBot="1">
      <c r="A25" s="2714" t="s">
        <v>797</v>
      </c>
      <c r="B25" s="2714"/>
      <c r="C25" s="2714"/>
      <c r="D25" s="2714"/>
      <c r="E25" s="2714"/>
      <c r="F25" s="2714"/>
      <c r="G25" s="2714"/>
      <c r="H25" s="2714"/>
      <c r="I25" s="2714"/>
      <c r="J25" s="2714"/>
      <c r="K25" s="2714"/>
      <c r="L25" s="2714"/>
      <c r="M25" s="2714"/>
      <c r="N25" s="2714"/>
      <c r="O25" s="2714"/>
    </row>
    <row r="26" spans="1:15" s="1310" customFormat="1" ht="15" customHeight="1">
      <c r="A26" s="2735" t="s">
        <v>1776</v>
      </c>
      <c r="B26" s="2747" t="s">
        <v>1927</v>
      </c>
      <c r="C26" s="2748"/>
      <c r="D26" s="2767" t="s">
        <v>1928</v>
      </c>
      <c r="E26" s="2712" t="s">
        <v>1929</v>
      </c>
      <c r="F26" s="2723" t="s">
        <v>1930</v>
      </c>
      <c r="G26" s="2723"/>
      <c r="H26" s="2750" t="s">
        <v>1275</v>
      </c>
      <c r="I26" s="2751"/>
      <c r="J26" s="2752"/>
      <c r="K26" s="2772" t="s">
        <v>798</v>
      </c>
      <c r="L26" s="2773"/>
      <c r="M26" s="2774"/>
      <c r="N26" s="2775"/>
      <c r="O26" s="2733" t="s">
        <v>1433</v>
      </c>
    </row>
    <row r="27" spans="1:15" s="1310" customFormat="1" ht="38.25" customHeight="1" thickBot="1">
      <c r="A27" s="2736"/>
      <c r="B27" s="1311" t="s">
        <v>1933</v>
      </c>
      <c r="C27" s="1312" t="s">
        <v>1934</v>
      </c>
      <c r="D27" s="2768"/>
      <c r="E27" s="2713"/>
      <c r="F27" s="2769"/>
      <c r="G27" s="2724"/>
      <c r="H27" s="1313" t="s">
        <v>1935</v>
      </c>
      <c r="I27" s="1314" t="s">
        <v>1936</v>
      </c>
      <c r="J27" s="1315" t="s">
        <v>1433</v>
      </c>
      <c r="K27" s="2776"/>
      <c r="L27" s="2777"/>
      <c r="M27" s="2777"/>
      <c r="N27" s="2778"/>
      <c r="O27" s="2734"/>
    </row>
    <row r="28" spans="1:15" ht="15" customHeight="1">
      <c r="A28" s="1349" t="s">
        <v>587</v>
      </c>
      <c r="B28" s="2770" t="s">
        <v>799</v>
      </c>
      <c r="C28" s="2771"/>
      <c r="D28" s="1350" t="s">
        <v>659</v>
      </c>
      <c r="E28" s="1350" t="s">
        <v>790</v>
      </c>
      <c r="F28" s="1336">
        <v>135400</v>
      </c>
      <c r="G28" s="1336"/>
      <c r="H28" s="1336">
        <v>135400</v>
      </c>
      <c r="I28" s="1336">
        <f aca="true" t="shared" si="0" ref="I28:I34">H28*11</f>
        <v>1489400</v>
      </c>
      <c r="J28" s="1351">
        <f aca="true" t="shared" si="1" ref="J28:J34">SUM(F28,I28)</f>
        <v>1624800</v>
      </c>
      <c r="K28" s="2790" t="s">
        <v>1817</v>
      </c>
      <c r="L28" s="2790"/>
      <c r="M28" s="2790"/>
      <c r="N28" s="2790"/>
      <c r="O28" s="1352">
        <f aca="true" t="shared" si="2" ref="O28:O34">J28</f>
        <v>1624800</v>
      </c>
    </row>
    <row r="29" spans="1:15" ht="15" customHeight="1">
      <c r="A29" s="1349" t="s">
        <v>588</v>
      </c>
      <c r="B29" s="2770" t="s">
        <v>799</v>
      </c>
      <c r="C29" s="2771"/>
      <c r="D29" s="1350" t="s">
        <v>659</v>
      </c>
      <c r="E29" s="1350" t="s">
        <v>1941</v>
      </c>
      <c r="F29" s="1336">
        <v>122000</v>
      </c>
      <c r="G29" s="1353"/>
      <c r="H29" s="1336">
        <v>122000</v>
      </c>
      <c r="I29" s="1336">
        <f>H29*12</f>
        <v>1464000</v>
      </c>
      <c r="J29" s="1351">
        <f t="shared" si="1"/>
        <v>1586000</v>
      </c>
      <c r="K29" s="2753" t="s">
        <v>1817</v>
      </c>
      <c r="L29" s="2754"/>
      <c r="M29" s="2754"/>
      <c r="N29" s="2755"/>
      <c r="O29" s="1352">
        <f t="shared" si="2"/>
        <v>1586000</v>
      </c>
    </row>
    <row r="30" spans="1:15" ht="15" customHeight="1">
      <c r="A30" s="1349" t="s">
        <v>589</v>
      </c>
      <c r="B30" s="2770" t="s">
        <v>800</v>
      </c>
      <c r="C30" s="2771"/>
      <c r="D30" s="1350" t="s">
        <v>659</v>
      </c>
      <c r="E30" s="1350" t="s">
        <v>801</v>
      </c>
      <c r="F30" s="1336">
        <v>60000</v>
      </c>
      <c r="G30" s="1353"/>
      <c r="H30" s="1336">
        <v>0</v>
      </c>
      <c r="I30" s="1336">
        <f>H30*10</f>
        <v>0</v>
      </c>
      <c r="J30" s="1351">
        <f t="shared" si="1"/>
        <v>60000</v>
      </c>
      <c r="K30" s="2753" t="s">
        <v>999</v>
      </c>
      <c r="L30" s="2754"/>
      <c r="M30" s="2754"/>
      <c r="N30" s="2755"/>
      <c r="O30" s="1352">
        <f t="shared" si="2"/>
        <v>60000</v>
      </c>
    </row>
    <row r="31" spans="1:15" ht="15" customHeight="1">
      <c r="A31" s="1349" t="s">
        <v>1459</v>
      </c>
      <c r="B31" s="2770" t="s">
        <v>800</v>
      </c>
      <c r="C31" s="2771"/>
      <c r="D31" s="1350" t="s">
        <v>659</v>
      </c>
      <c r="E31" s="1350" t="s">
        <v>801</v>
      </c>
      <c r="F31" s="1336">
        <v>43000</v>
      </c>
      <c r="G31" s="1353"/>
      <c r="H31" s="1336">
        <v>0</v>
      </c>
      <c r="I31" s="1336">
        <f>H31*10</f>
        <v>0</v>
      </c>
      <c r="J31" s="1351">
        <f t="shared" si="1"/>
        <v>43000</v>
      </c>
      <c r="K31" s="2753" t="s">
        <v>1001</v>
      </c>
      <c r="L31" s="2754"/>
      <c r="M31" s="2754"/>
      <c r="N31" s="2755"/>
      <c r="O31" s="1352">
        <f t="shared" si="2"/>
        <v>43000</v>
      </c>
    </row>
    <row r="32" spans="1:15" ht="15" customHeight="1">
      <c r="A32" s="1349" t="s">
        <v>1443</v>
      </c>
      <c r="B32" s="2770" t="s">
        <v>800</v>
      </c>
      <c r="C32" s="2771"/>
      <c r="D32" s="1350" t="s">
        <v>659</v>
      </c>
      <c r="E32" s="1350" t="s">
        <v>801</v>
      </c>
      <c r="F32" s="1336">
        <v>50000</v>
      </c>
      <c r="G32" s="1353"/>
      <c r="H32" s="1336">
        <v>0</v>
      </c>
      <c r="I32" s="1336">
        <f t="shared" si="0"/>
        <v>0</v>
      </c>
      <c r="J32" s="1351">
        <f t="shared" si="1"/>
        <v>50000</v>
      </c>
      <c r="K32" s="2753" t="s">
        <v>802</v>
      </c>
      <c r="L32" s="2754"/>
      <c r="M32" s="2754"/>
      <c r="N32" s="2755"/>
      <c r="O32" s="1352">
        <f t="shared" si="2"/>
        <v>50000</v>
      </c>
    </row>
    <row r="33" spans="1:15" ht="15" customHeight="1">
      <c r="A33" s="1354" t="s">
        <v>1444</v>
      </c>
      <c r="B33" s="2770" t="s">
        <v>800</v>
      </c>
      <c r="C33" s="2771"/>
      <c r="D33" s="1350" t="s">
        <v>659</v>
      </c>
      <c r="E33" s="1350" t="s">
        <v>801</v>
      </c>
      <c r="F33" s="1336">
        <v>45000</v>
      </c>
      <c r="G33" s="1353"/>
      <c r="H33" s="1336">
        <v>0</v>
      </c>
      <c r="I33" s="1336">
        <f>H33*11</f>
        <v>0</v>
      </c>
      <c r="J33" s="1336">
        <f>SUM(F33,I33)</f>
        <v>45000</v>
      </c>
      <c r="K33" s="2753" t="s">
        <v>1823</v>
      </c>
      <c r="L33" s="2754"/>
      <c r="M33" s="2754"/>
      <c r="N33" s="2755"/>
      <c r="O33" s="1352">
        <f>J33</f>
        <v>45000</v>
      </c>
    </row>
    <row r="34" spans="1:15" ht="15" customHeight="1" thickBot="1">
      <c r="A34" s="1349" t="s">
        <v>1445</v>
      </c>
      <c r="B34" s="2801" t="s">
        <v>800</v>
      </c>
      <c r="C34" s="2802"/>
      <c r="D34" s="1355" t="s">
        <v>659</v>
      </c>
      <c r="E34" s="1355" t="s">
        <v>801</v>
      </c>
      <c r="F34" s="1356">
        <v>42000</v>
      </c>
      <c r="G34" s="1357"/>
      <c r="H34" s="1356">
        <v>0</v>
      </c>
      <c r="I34" s="1356">
        <f t="shared" si="0"/>
        <v>0</v>
      </c>
      <c r="J34" s="1351">
        <f t="shared" si="1"/>
        <v>42000</v>
      </c>
      <c r="K34" s="2781" t="s">
        <v>1820</v>
      </c>
      <c r="L34" s="2782"/>
      <c r="M34" s="2782"/>
      <c r="N34" s="2783"/>
      <c r="O34" s="1358">
        <f t="shared" si="2"/>
        <v>42000</v>
      </c>
    </row>
    <row r="35" spans="1:15" s="1138" customFormat="1" ht="15" customHeight="1" thickBot="1">
      <c r="A35" s="2784" t="s">
        <v>1433</v>
      </c>
      <c r="B35" s="2785"/>
      <c r="C35" s="2785"/>
      <c r="D35" s="2785"/>
      <c r="E35" s="2785"/>
      <c r="F35" s="1345">
        <f>SUM(F28:F34)</f>
        <v>497400</v>
      </c>
      <c r="G35" s="1359"/>
      <c r="H35" s="1346"/>
      <c r="I35" s="1345">
        <f>SUM(I28:I34)</f>
        <v>2953400</v>
      </c>
      <c r="J35" s="1345">
        <f>SUM(J28:J34)</f>
        <v>3450800</v>
      </c>
      <c r="K35" s="2749"/>
      <c r="L35" s="2749"/>
      <c r="M35" s="2749"/>
      <c r="N35" s="2749"/>
      <c r="O35" s="1360">
        <f>SUM(O28:O34)</f>
        <v>3450800</v>
      </c>
    </row>
    <row r="36" spans="1:15" ht="64.5" customHeight="1" thickBot="1">
      <c r="A36" s="2714" t="s">
        <v>803</v>
      </c>
      <c r="B36" s="2714"/>
      <c r="C36" s="2714"/>
      <c r="D36" s="2714"/>
      <c r="E36" s="2714"/>
      <c r="F36" s="2714"/>
      <c r="G36" s="2714"/>
      <c r="H36" s="2714"/>
      <c r="I36" s="2714"/>
      <c r="J36" s="2714"/>
      <c r="K36" s="2714"/>
      <c r="L36" s="2714"/>
      <c r="M36" s="2714"/>
      <c r="N36" s="2714"/>
      <c r="O36" s="2714"/>
    </row>
    <row r="37" spans="1:15" s="1310" customFormat="1" ht="15.75" customHeight="1">
      <c r="A37" s="2779" t="s">
        <v>1776</v>
      </c>
      <c r="B37" s="2725" t="s">
        <v>804</v>
      </c>
      <c r="C37" s="2726"/>
      <c r="D37" s="2725" t="s">
        <v>805</v>
      </c>
      <c r="E37" s="2726"/>
      <c r="F37" s="2712" t="s">
        <v>40</v>
      </c>
      <c r="G37" s="2723"/>
      <c r="H37" s="2727" t="s">
        <v>41</v>
      </c>
      <c r="I37" s="2727"/>
      <c r="J37" s="2727"/>
      <c r="K37" s="2720" t="s">
        <v>798</v>
      </c>
      <c r="L37" s="2720"/>
      <c r="M37" s="2721"/>
      <c r="N37" s="2721"/>
      <c r="O37" s="2733" t="s">
        <v>1433</v>
      </c>
    </row>
    <row r="38" spans="1:15" s="1310" customFormat="1" ht="37.5" customHeight="1" thickBot="1">
      <c r="A38" s="2780"/>
      <c r="B38" s="2722"/>
      <c r="C38" s="2722"/>
      <c r="D38" s="2722"/>
      <c r="E38" s="2722"/>
      <c r="F38" s="2728"/>
      <c r="G38" s="2724"/>
      <c r="H38" s="1313" t="s">
        <v>1935</v>
      </c>
      <c r="I38" s="1314" t="s">
        <v>1936</v>
      </c>
      <c r="J38" s="1315" t="s">
        <v>1433</v>
      </c>
      <c r="K38" s="2722"/>
      <c r="L38" s="2722"/>
      <c r="M38" s="2722"/>
      <c r="N38" s="2722"/>
      <c r="O38" s="2734"/>
    </row>
    <row r="39" spans="1:15" ht="15" customHeight="1">
      <c r="A39" s="1361" t="s">
        <v>587</v>
      </c>
      <c r="B39" s="2715">
        <v>40909</v>
      </c>
      <c r="C39" s="2716"/>
      <c r="D39" s="2715">
        <v>41274</v>
      </c>
      <c r="E39" s="2716"/>
      <c r="F39" s="1362">
        <v>25000</v>
      </c>
      <c r="G39" s="1363"/>
      <c r="H39" s="1362">
        <v>25000</v>
      </c>
      <c r="I39" s="1364">
        <f aca="true" t="shared" si="3" ref="I39:I54">H39*11</f>
        <v>275000</v>
      </c>
      <c r="J39" s="1321">
        <f aca="true" t="shared" si="4" ref="J39:J54">SUM(F39+I39)</f>
        <v>300000</v>
      </c>
      <c r="K39" s="2719" t="s">
        <v>1818</v>
      </c>
      <c r="L39" s="2719"/>
      <c r="M39" s="2719"/>
      <c r="N39" s="2719"/>
      <c r="O39" s="1365">
        <f aca="true" t="shared" si="5" ref="O39:O54">J39</f>
        <v>300000</v>
      </c>
    </row>
    <row r="40" spans="1:15" ht="15" customHeight="1">
      <c r="A40" s="1366" t="s">
        <v>588</v>
      </c>
      <c r="B40" s="2704">
        <v>40909</v>
      </c>
      <c r="C40" s="2717"/>
      <c r="D40" s="2704">
        <v>41274</v>
      </c>
      <c r="E40" s="2717"/>
      <c r="F40" s="1367">
        <v>25000</v>
      </c>
      <c r="G40" s="1368"/>
      <c r="H40" s="1367">
        <v>25000</v>
      </c>
      <c r="I40" s="1369">
        <f t="shared" si="3"/>
        <v>275000</v>
      </c>
      <c r="J40" s="1331">
        <f t="shared" si="4"/>
        <v>300000</v>
      </c>
      <c r="K40" s="2718" t="s">
        <v>1002</v>
      </c>
      <c r="L40" s="2718"/>
      <c r="M40" s="2718"/>
      <c r="N40" s="2718"/>
      <c r="O40" s="1370">
        <f t="shared" si="5"/>
        <v>300000</v>
      </c>
    </row>
    <row r="41" spans="1:15" ht="15" customHeight="1">
      <c r="A41" s="1371" t="s">
        <v>589</v>
      </c>
      <c r="B41" s="2704">
        <v>40909</v>
      </c>
      <c r="C41" s="2717"/>
      <c r="D41" s="2704">
        <v>41274</v>
      </c>
      <c r="E41" s="2717"/>
      <c r="F41" s="1367">
        <v>20000</v>
      </c>
      <c r="G41" s="1368"/>
      <c r="H41" s="1367">
        <v>20000</v>
      </c>
      <c r="I41" s="1369">
        <f t="shared" si="3"/>
        <v>220000</v>
      </c>
      <c r="J41" s="1331">
        <f t="shared" si="4"/>
        <v>240000</v>
      </c>
      <c r="K41" s="2718" t="s">
        <v>1819</v>
      </c>
      <c r="L41" s="2718"/>
      <c r="M41" s="2718"/>
      <c r="N41" s="2718"/>
      <c r="O41" s="1370">
        <f t="shared" si="5"/>
        <v>240000</v>
      </c>
    </row>
    <row r="42" spans="1:15" ht="15" customHeight="1">
      <c r="A42" s="1371" t="s">
        <v>1459</v>
      </c>
      <c r="B42" s="2704">
        <v>40909</v>
      </c>
      <c r="C42" s="2717"/>
      <c r="D42" s="2704">
        <v>41274</v>
      </c>
      <c r="E42" s="2717"/>
      <c r="F42" s="1367">
        <v>25000</v>
      </c>
      <c r="G42" s="1368"/>
      <c r="H42" s="1367">
        <v>25000</v>
      </c>
      <c r="I42" s="1369">
        <f t="shared" si="3"/>
        <v>275000</v>
      </c>
      <c r="J42" s="1331">
        <f t="shared" si="4"/>
        <v>300000</v>
      </c>
      <c r="K42" s="2718" t="s">
        <v>42</v>
      </c>
      <c r="L42" s="2718"/>
      <c r="M42" s="2718"/>
      <c r="N42" s="2718"/>
      <c r="O42" s="1370">
        <f t="shared" si="5"/>
        <v>300000</v>
      </c>
    </row>
    <row r="43" spans="1:15" ht="15" customHeight="1">
      <c r="A43" s="1366" t="s">
        <v>1443</v>
      </c>
      <c r="B43" s="2704"/>
      <c r="C43" s="2705"/>
      <c r="D43" s="2704"/>
      <c r="E43" s="2705"/>
      <c r="F43" s="1369">
        <v>0</v>
      </c>
      <c r="G43" s="1372"/>
      <c r="H43" s="1367">
        <v>25000</v>
      </c>
      <c r="I43" s="1369">
        <f t="shared" si="3"/>
        <v>275000</v>
      </c>
      <c r="J43" s="1331">
        <f t="shared" si="4"/>
        <v>275000</v>
      </c>
      <c r="K43" s="2804" t="s">
        <v>43</v>
      </c>
      <c r="L43" s="2804"/>
      <c r="M43" s="2804"/>
      <c r="N43" s="2804"/>
      <c r="O43" s="1370">
        <f t="shared" si="5"/>
        <v>275000</v>
      </c>
    </row>
    <row r="44" spans="1:15" ht="15" customHeight="1">
      <c r="A44" s="1366" t="s">
        <v>1444</v>
      </c>
      <c r="B44" s="2704"/>
      <c r="C44" s="2705"/>
      <c r="D44" s="2704"/>
      <c r="E44" s="2705"/>
      <c r="F44" s="1369">
        <v>0</v>
      </c>
      <c r="G44" s="1372"/>
      <c r="H44" s="1367">
        <v>25000</v>
      </c>
      <c r="I44" s="1369">
        <f>H44*11</f>
        <v>275000</v>
      </c>
      <c r="J44" s="1331">
        <f>SUM(F44+I44)</f>
        <v>275000</v>
      </c>
      <c r="K44" s="2706" t="s">
        <v>1823</v>
      </c>
      <c r="L44" s="2707"/>
      <c r="M44" s="2707"/>
      <c r="N44" s="2708"/>
      <c r="O44" s="1370">
        <f>J44</f>
        <v>275000</v>
      </c>
    </row>
    <row r="45" spans="1:15" ht="15" customHeight="1">
      <c r="A45" s="1366" t="s">
        <v>1445</v>
      </c>
      <c r="B45" s="2704"/>
      <c r="C45" s="2705"/>
      <c r="D45" s="2704"/>
      <c r="E45" s="2705"/>
      <c r="F45" s="1369">
        <v>0</v>
      </c>
      <c r="G45" s="1372"/>
      <c r="H45" s="1367">
        <v>25000</v>
      </c>
      <c r="I45" s="1369">
        <f t="shared" si="3"/>
        <v>275000</v>
      </c>
      <c r="J45" s="1331">
        <f t="shared" si="4"/>
        <v>275000</v>
      </c>
      <c r="K45" s="2706" t="s">
        <v>44</v>
      </c>
      <c r="L45" s="2707"/>
      <c r="M45" s="2707"/>
      <c r="N45" s="2708"/>
      <c r="O45" s="1370">
        <f t="shared" si="5"/>
        <v>275000</v>
      </c>
    </row>
    <row r="46" spans="1:15" ht="15" customHeight="1">
      <c r="A46" s="1366" t="s">
        <v>1446</v>
      </c>
      <c r="B46" s="2704"/>
      <c r="C46" s="2705"/>
      <c r="D46" s="2704"/>
      <c r="E46" s="2705"/>
      <c r="F46" s="1369">
        <v>0</v>
      </c>
      <c r="G46" s="1372"/>
      <c r="H46" s="1367">
        <v>25000</v>
      </c>
      <c r="I46" s="1369">
        <f t="shared" si="3"/>
        <v>275000</v>
      </c>
      <c r="J46" s="1331">
        <f t="shared" si="4"/>
        <v>275000</v>
      </c>
      <c r="K46" s="2706" t="s">
        <v>999</v>
      </c>
      <c r="L46" s="2707"/>
      <c r="M46" s="2707"/>
      <c r="N46" s="2708"/>
      <c r="O46" s="1370">
        <f t="shared" si="5"/>
        <v>275000</v>
      </c>
    </row>
    <row r="47" spans="1:15" ht="15" customHeight="1">
      <c r="A47" s="1366" t="s">
        <v>1447</v>
      </c>
      <c r="B47" s="2704"/>
      <c r="C47" s="2705"/>
      <c r="D47" s="2704"/>
      <c r="E47" s="2705"/>
      <c r="F47" s="1369">
        <v>0</v>
      </c>
      <c r="G47" s="1372"/>
      <c r="H47" s="1367">
        <v>25000</v>
      </c>
      <c r="I47" s="1369">
        <f>H47*11</f>
        <v>275000</v>
      </c>
      <c r="J47" s="1331">
        <f>SUM(F47+I47)</f>
        <v>275000</v>
      </c>
      <c r="K47" s="2706" t="s">
        <v>1001</v>
      </c>
      <c r="L47" s="2707"/>
      <c r="M47" s="2707"/>
      <c r="N47" s="2708"/>
      <c r="O47" s="1370">
        <f>J47</f>
        <v>275000</v>
      </c>
    </row>
    <row r="48" spans="1:15" ht="15" customHeight="1">
      <c r="A48" s="1366" t="s">
        <v>1448</v>
      </c>
      <c r="B48" s="2704"/>
      <c r="C48" s="2705"/>
      <c r="D48" s="2704"/>
      <c r="E48" s="2705"/>
      <c r="F48" s="1369">
        <v>0</v>
      </c>
      <c r="G48" s="1372"/>
      <c r="H48" s="1367">
        <v>25000</v>
      </c>
      <c r="I48" s="1369">
        <f>H48*11</f>
        <v>275000</v>
      </c>
      <c r="J48" s="1331">
        <f>SUM(F48+I48)</f>
        <v>275000</v>
      </c>
      <c r="K48" s="2706" t="s">
        <v>802</v>
      </c>
      <c r="L48" s="2707"/>
      <c r="M48" s="2707"/>
      <c r="N48" s="2708"/>
      <c r="O48" s="1370">
        <f>J48</f>
        <v>275000</v>
      </c>
    </row>
    <row r="49" spans="1:15" ht="15" customHeight="1">
      <c r="A49" s="1366" t="s">
        <v>1460</v>
      </c>
      <c r="B49" s="2704"/>
      <c r="C49" s="2705"/>
      <c r="D49" s="2704"/>
      <c r="E49" s="2705"/>
      <c r="F49" s="1369">
        <v>0</v>
      </c>
      <c r="G49" s="1372"/>
      <c r="H49" s="1367">
        <v>25000</v>
      </c>
      <c r="I49" s="1369">
        <f t="shared" si="3"/>
        <v>275000</v>
      </c>
      <c r="J49" s="1331">
        <f t="shared" si="4"/>
        <v>275000</v>
      </c>
      <c r="K49" s="2804" t="s">
        <v>1003</v>
      </c>
      <c r="L49" s="2804"/>
      <c r="M49" s="2804"/>
      <c r="N49" s="2804"/>
      <c r="O49" s="1370">
        <f t="shared" si="5"/>
        <v>275000</v>
      </c>
    </row>
    <row r="50" spans="1:15" ht="15" customHeight="1">
      <c r="A50" s="1366" t="s">
        <v>1461</v>
      </c>
      <c r="B50" s="2704"/>
      <c r="C50" s="2705"/>
      <c r="D50" s="2704"/>
      <c r="E50" s="2705"/>
      <c r="F50" s="1369">
        <v>0</v>
      </c>
      <c r="G50" s="1372"/>
      <c r="H50" s="1367">
        <v>25000</v>
      </c>
      <c r="I50" s="1369">
        <f>H50*11</f>
        <v>275000</v>
      </c>
      <c r="J50" s="1331">
        <f>SUM(F50+I50)</f>
        <v>275000</v>
      </c>
      <c r="K50" s="2706" t="s">
        <v>1820</v>
      </c>
      <c r="L50" s="2707"/>
      <c r="M50" s="2707"/>
      <c r="N50" s="2708"/>
      <c r="O50" s="1370">
        <f>J50</f>
        <v>275000</v>
      </c>
    </row>
    <row r="51" spans="1:15" ht="15" customHeight="1">
      <c r="A51" s="1373" t="s">
        <v>1462</v>
      </c>
      <c r="B51" s="2709"/>
      <c r="C51" s="2710"/>
      <c r="D51" s="2709"/>
      <c r="E51" s="2710"/>
      <c r="F51" s="1374">
        <v>0</v>
      </c>
      <c r="G51" s="1375"/>
      <c r="H51" s="1374">
        <v>0</v>
      </c>
      <c r="I51" s="1374">
        <f t="shared" si="3"/>
        <v>0</v>
      </c>
      <c r="J51" s="1376">
        <f t="shared" si="4"/>
        <v>0</v>
      </c>
      <c r="K51" s="2711" t="s">
        <v>45</v>
      </c>
      <c r="L51" s="2711"/>
      <c r="M51" s="2711"/>
      <c r="N51" s="2711"/>
      <c r="O51" s="1377">
        <f t="shared" si="5"/>
        <v>0</v>
      </c>
    </row>
    <row r="52" spans="1:15" ht="15" customHeight="1">
      <c r="A52" s="1373" t="s">
        <v>1463</v>
      </c>
      <c r="B52" s="2709"/>
      <c r="C52" s="2710"/>
      <c r="D52" s="2709"/>
      <c r="E52" s="2710"/>
      <c r="F52" s="1374">
        <v>0</v>
      </c>
      <c r="G52" s="1375"/>
      <c r="H52" s="1374">
        <v>0</v>
      </c>
      <c r="I52" s="1374">
        <f>H52*11</f>
        <v>0</v>
      </c>
      <c r="J52" s="1376">
        <f>SUM(F52+I52)</f>
        <v>0</v>
      </c>
      <c r="K52" s="2711" t="s">
        <v>46</v>
      </c>
      <c r="L52" s="2711"/>
      <c r="M52" s="2711"/>
      <c r="N52" s="2711"/>
      <c r="O52" s="1377">
        <f>J52</f>
        <v>0</v>
      </c>
    </row>
    <row r="53" spans="1:15" ht="15" customHeight="1">
      <c r="A53" s="1373" t="s">
        <v>1464</v>
      </c>
      <c r="B53" s="2709"/>
      <c r="C53" s="2710"/>
      <c r="D53" s="2709"/>
      <c r="E53" s="2710"/>
      <c r="F53" s="1374">
        <v>0</v>
      </c>
      <c r="G53" s="1375"/>
      <c r="H53" s="1374">
        <v>0</v>
      </c>
      <c r="I53" s="1374">
        <f t="shared" si="3"/>
        <v>0</v>
      </c>
      <c r="J53" s="1376">
        <f t="shared" si="4"/>
        <v>0</v>
      </c>
      <c r="K53" s="2711" t="s">
        <v>47</v>
      </c>
      <c r="L53" s="2711"/>
      <c r="M53" s="2711"/>
      <c r="N53" s="2711"/>
      <c r="O53" s="1377">
        <f t="shared" si="5"/>
        <v>0</v>
      </c>
    </row>
    <row r="54" spans="1:15" s="1138" customFormat="1" ht="15" customHeight="1" thickBot="1">
      <c r="A54" s="1378" t="s">
        <v>1465</v>
      </c>
      <c r="B54" s="2709"/>
      <c r="C54" s="2710"/>
      <c r="D54" s="2709"/>
      <c r="E54" s="2710"/>
      <c r="F54" s="1374">
        <v>0</v>
      </c>
      <c r="G54" s="1375"/>
      <c r="H54" s="1374">
        <v>0</v>
      </c>
      <c r="I54" s="1374">
        <f t="shared" si="3"/>
        <v>0</v>
      </c>
      <c r="J54" s="1376">
        <f t="shared" si="4"/>
        <v>0</v>
      </c>
      <c r="K54" s="2711" t="s">
        <v>1000</v>
      </c>
      <c r="L54" s="2711"/>
      <c r="M54" s="2711"/>
      <c r="N54" s="2711"/>
      <c r="O54" s="1377">
        <f t="shared" si="5"/>
        <v>0</v>
      </c>
    </row>
    <row r="55" spans="1:15" ht="13.5" thickBot="1">
      <c r="A55" s="2784" t="s">
        <v>1433</v>
      </c>
      <c r="B55" s="2785"/>
      <c r="C55" s="2785"/>
      <c r="D55" s="2785"/>
      <c r="E55" s="2785"/>
      <c r="F55" s="1345">
        <f>SUM(F39:F54)</f>
        <v>95000</v>
      </c>
      <c r="G55" s="1359"/>
      <c r="H55" s="1346"/>
      <c r="I55" s="1345">
        <f>SUM(I39:I54)</f>
        <v>3245000</v>
      </c>
      <c r="J55" s="1345">
        <f>SUM(J39:J54)</f>
        <v>3340000</v>
      </c>
      <c r="K55" s="2807"/>
      <c r="L55" s="2757"/>
      <c r="M55" s="2739"/>
      <c r="N55" s="2808"/>
      <c r="O55" s="1360">
        <f>SUM(O39:O54)</f>
        <v>3340000</v>
      </c>
    </row>
    <row r="56" spans="1:8" ht="12.75">
      <c r="A56" s="1212"/>
      <c r="B56" s="1212"/>
      <c r="D56" s="1212"/>
      <c r="E56" s="1212"/>
      <c r="F56" s="1212"/>
      <c r="H56" s="1379"/>
    </row>
    <row r="57" spans="1:21" ht="12.75">
      <c r="A57" s="1215"/>
      <c r="B57" s="1215"/>
      <c r="C57" s="1219"/>
      <c r="D57" s="1215"/>
      <c r="E57" s="1215"/>
      <c r="F57" s="1215"/>
      <c r="G57" s="1219"/>
      <c r="H57" s="1380"/>
      <c r="I57" s="1219"/>
      <c r="J57" s="1219"/>
      <c r="K57" s="1219"/>
      <c r="L57" s="1219"/>
      <c r="M57" s="1219"/>
      <c r="N57" s="1219"/>
      <c r="O57" s="1219"/>
      <c r="P57" s="1347"/>
      <c r="Q57" s="1347"/>
      <c r="R57" s="1347"/>
      <c r="S57" s="1347"/>
      <c r="T57" s="1347"/>
      <c r="U57" s="1347"/>
    </row>
    <row r="58" spans="8:21" ht="41.25" customHeight="1">
      <c r="H58" s="1381"/>
      <c r="I58" s="1063"/>
      <c r="J58" s="1063"/>
      <c r="K58" s="1063"/>
      <c r="L58" s="2805" t="s">
        <v>48</v>
      </c>
      <c r="M58" s="2806"/>
      <c r="N58" s="2806"/>
      <c r="O58" s="2806"/>
      <c r="P58" s="1347"/>
      <c r="Q58" s="1347"/>
      <c r="R58" s="1347"/>
      <c r="S58" s="1347"/>
      <c r="T58" s="1347"/>
      <c r="U58" s="1347"/>
    </row>
    <row r="59" spans="8:15" ht="13.5" thickBot="1">
      <c r="H59" s="2737" t="s">
        <v>49</v>
      </c>
      <c r="I59" s="2737"/>
      <c r="J59" s="2737"/>
      <c r="K59" s="1063"/>
      <c r="L59" s="1382"/>
      <c r="M59" s="1206"/>
      <c r="N59" s="1206"/>
      <c r="O59" s="1206"/>
    </row>
    <row r="60" spans="6:15" ht="13.5" thickBot="1">
      <c r="F60" s="2738"/>
      <c r="G60" s="2739"/>
      <c r="H60" s="2740"/>
      <c r="I60" s="1284" t="s">
        <v>1918</v>
      </c>
      <c r="J60" s="1285" t="s">
        <v>1919</v>
      </c>
      <c r="K60" s="1285" t="s">
        <v>1920</v>
      </c>
      <c r="L60" s="1286" t="s">
        <v>1085</v>
      </c>
      <c r="O60" s="1063"/>
    </row>
    <row r="61" spans="3:15" ht="12.75">
      <c r="C61" s="1287"/>
      <c r="F61" s="2744" t="s">
        <v>1922</v>
      </c>
      <c r="G61" s="2745"/>
      <c r="H61" s="2746"/>
      <c r="I61" s="1288"/>
      <c r="J61" s="1289">
        <v>1</v>
      </c>
      <c r="K61" s="1290"/>
      <c r="L61" s="1383">
        <v>0.75</v>
      </c>
      <c r="O61" s="1063"/>
    </row>
    <row r="62" spans="6:15" ht="12.75">
      <c r="F62" s="2741" t="s">
        <v>1923</v>
      </c>
      <c r="G62" s="2742" t="s">
        <v>1923</v>
      </c>
      <c r="H62" s="2743"/>
      <c r="I62" s="1292"/>
      <c r="J62" s="1293"/>
      <c r="K62" s="1294"/>
      <c r="L62" s="1384"/>
      <c r="O62" s="1063"/>
    </row>
    <row r="63" spans="6:13" ht="13.5" thickBot="1">
      <c r="F63" s="2759" t="s">
        <v>1924</v>
      </c>
      <c r="G63" s="2760" t="s">
        <v>1924</v>
      </c>
      <c r="H63" s="2761"/>
      <c r="I63" s="1296"/>
      <c r="J63" s="1297"/>
      <c r="K63" s="1298"/>
      <c r="L63" s="1385"/>
      <c r="M63" s="1300"/>
    </row>
    <row r="64" spans="6:15" ht="13.5" thickBot="1">
      <c r="F64" s="2762" t="s">
        <v>1433</v>
      </c>
      <c r="G64" s="2763" t="s">
        <v>1923</v>
      </c>
      <c r="H64" s="2764"/>
      <c r="I64" s="1386"/>
      <c r="J64" s="1387">
        <v>1</v>
      </c>
      <c r="K64" s="1388"/>
      <c r="L64" s="1389">
        <v>0.75</v>
      </c>
      <c r="O64" s="1063"/>
    </row>
    <row r="65" spans="1:15" ht="37.5" customHeight="1">
      <c r="A65" s="1063"/>
      <c r="B65" s="1347"/>
      <c r="C65" s="1347"/>
      <c r="D65" s="1347"/>
      <c r="E65" s="1347"/>
      <c r="F65" s="1347"/>
      <c r="G65" s="1347"/>
      <c r="H65" s="1381"/>
      <c r="I65" s="1063"/>
      <c r="J65" s="1063"/>
      <c r="K65" s="1063"/>
      <c r="L65" s="1063"/>
      <c r="M65" s="1063"/>
      <c r="N65" s="1063"/>
      <c r="O65" s="1063"/>
    </row>
    <row r="66" spans="1:15" ht="15.75" customHeight="1" thickBot="1">
      <c r="A66" s="2714" t="s">
        <v>50</v>
      </c>
      <c r="B66" s="2714"/>
      <c r="C66" s="2714"/>
      <c r="D66" s="2714"/>
      <c r="E66" s="2714"/>
      <c r="F66" s="2714"/>
      <c r="G66" s="2714"/>
      <c r="H66" s="2714"/>
      <c r="I66" s="2714"/>
      <c r="J66" s="2714"/>
      <c r="K66" s="2714"/>
      <c r="L66" s="2714"/>
      <c r="M66" s="2714"/>
      <c r="N66" s="2714"/>
      <c r="O66" s="2714"/>
    </row>
    <row r="67" spans="1:15" ht="39" customHeight="1">
      <c r="A67" s="2735" t="s">
        <v>1776</v>
      </c>
      <c r="B67" s="2747" t="s">
        <v>1927</v>
      </c>
      <c r="C67" s="2748"/>
      <c r="D67" s="2712" t="s">
        <v>1928</v>
      </c>
      <c r="E67" s="2712" t="s">
        <v>1929</v>
      </c>
      <c r="F67" s="2723" t="s">
        <v>1930</v>
      </c>
      <c r="G67" s="2723"/>
      <c r="H67" s="2750" t="s">
        <v>1275</v>
      </c>
      <c r="I67" s="2751"/>
      <c r="J67" s="2752"/>
      <c r="K67" s="2732" t="s">
        <v>1931</v>
      </c>
      <c r="L67" s="2732"/>
      <c r="M67" s="2729" t="s">
        <v>51</v>
      </c>
      <c r="N67" s="2729"/>
      <c r="O67" s="2733" t="s">
        <v>1433</v>
      </c>
    </row>
    <row r="68" spans="1:15" ht="33" customHeight="1" thickBot="1">
      <c r="A68" s="2736"/>
      <c r="B68" s="1311" t="s">
        <v>1933</v>
      </c>
      <c r="C68" s="1312" t="s">
        <v>1934</v>
      </c>
      <c r="D68" s="2713"/>
      <c r="E68" s="2713"/>
      <c r="F68" s="2769"/>
      <c r="G68" s="2724"/>
      <c r="H68" s="1313" t="s">
        <v>1935</v>
      </c>
      <c r="I68" s="1314" t="s">
        <v>1936</v>
      </c>
      <c r="J68" s="1315" t="s">
        <v>1433</v>
      </c>
      <c r="K68" s="1390" t="s">
        <v>1937</v>
      </c>
      <c r="L68" s="1390" t="s">
        <v>1301</v>
      </c>
      <c r="M68" s="1391" t="s">
        <v>52</v>
      </c>
      <c r="N68" s="1390" t="s">
        <v>1301</v>
      </c>
      <c r="O68" s="2734"/>
    </row>
    <row r="69" spans="1:15" s="1138" customFormat="1" ht="15" customHeight="1">
      <c r="A69" s="1316" t="s">
        <v>587</v>
      </c>
      <c r="B69" s="1317" t="s">
        <v>53</v>
      </c>
      <c r="C69" s="1317">
        <v>12</v>
      </c>
      <c r="D69" s="1318" t="s">
        <v>54</v>
      </c>
      <c r="E69" s="1318" t="s">
        <v>790</v>
      </c>
      <c r="F69" s="1319">
        <v>84600</v>
      </c>
      <c r="G69" s="1319"/>
      <c r="H69" s="1319">
        <v>84600</v>
      </c>
      <c r="I69" s="1321">
        <f>(H69)*11</f>
        <v>930600</v>
      </c>
      <c r="J69" s="1321">
        <f>SUM(F69,G69,I69)</f>
        <v>1015200</v>
      </c>
      <c r="K69" s="1321"/>
      <c r="L69" s="1321"/>
      <c r="M69" s="1362"/>
      <c r="N69" s="1364">
        <f>M69*2</f>
        <v>0</v>
      </c>
      <c r="O69" s="1365">
        <f>SUM(J69,N69,L69)</f>
        <v>1015200</v>
      </c>
    </row>
    <row r="70" spans="1:15" s="1138" customFormat="1" ht="22.5" customHeight="1" thickBot="1">
      <c r="A70" s="2799" t="s">
        <v>1433</v>
      </c>
      <c r="B70" s="2800"/>
      <c r="C70" s="2800"/>
      <c r="D70" s="2800"/>
      <c r="E70" s="2800"/>
      <c r="F70" s="1393">
        <f>SUM(F69)</f>
        <v>84600</v>
      </c>
      <c r="G70" s="1393"/>
      <c r="H70" s="1392"/>
      <c r="I70" s="1393">
        <f>SUM(I69)</f>
        <v>930600</v>
      </c>
      <c r="J70" s="1393">
        <f>SUM(J69)</f>
        <v>1015200</v>
      </c>
      <c r="K70" s="2730"/>
      <c r="L70" s="2731"/>
      <c r="M70" s="2730">
        <f>SUM(N69:N69)</f>
        <v>0</v>
      </c>
      <c r="N70" s="2731"/>
      <c r="O70" s="1394">
        <f>SUM(J70,M70)</f>
        <v>1015200</v>
      </c>
    </row>
    <row r="71" spans="1:15" ht="54.75" customHeight="1">
      <c r="A71" s="2703" t="s">
        <v>55</v>
      </c>
      <c r="B71" s="2703"/>
      <c r="C71" s="2703"/>
      <c r="D71" s="2703"/>
      <c r="E71" s="2703"/>
      <c r="F71" s="2703"/>
      <c r="G71" s="2703"/>
      <c r="H71" s="2703"/>
      <c r="I71" s="2703"/>
      <c r="J71" s="2703"/>
      <c r="K71" s="2703"/>
      <c r="L71" s="2703"/>
      <c r="M71" s="2703"/>
      <c r="N71" s="2703"/>
      <c r="O71" s="2703"/>
    </row>
    <row r="72" spans="1:15" ht="15.75" customHeight="1" thickBot="1">
      <c r="A72" s="2714" t="s">
        <v>50</v>
      </c>
      <c r="B72" s="2714"/>
      <c r="C72" s="2714"/>
      <c r="D72" s="2714"/>
      <c r="E72" s="2714"/>
      <c r="F72" s="2714"/>
      <c r="G72" s="2714"/>
      <c r="H72" s="2714"/>
      <c r="I72" s="2714"/>
      <c r="J72" s="2714"/>
      <c r="K72" s="2714"/>
      <c r="L72" s="2714"/>
      <c r="M72" s="2714"/>
      <c r="N72" s="2714"/>
      <c r="O72" s="2714"/>
    </row>
    <row r="73" spans="1:15" ht="39" customHeight="1">
      <c r="A73" s="2735" t="s">
        <v>1776</v>
      </c>
      <c r="B73" s="2747" t="s">
        <v>1927</v>
      </c>
      <c r="C73" s="2748"/>
      <c r="D73" s="2712" t="s">
        <v>1928</v>
      </c>
      <c r="E73" s="2712" t="s">
        <v>1929</v>
      </c>
      <c r="F73" s="2723" t="s">
        <v>1930</v>
      </c>
      <c r="G73" s="2723"/>
      <c r="H73" s="2750" t="s">
        <v>1275</v>
      </c>
      <c r="I73" s="2751"/>
      <c r="J73" s="2752"/>
      <c r="K73" s="2732" t="s">
        <v>1931</v>
      </c>
      <c r="L73" s="2732"/>
      <c r="M73" s="2729" t="s">
        <v>1932</v>
      </c>
      <c r="N73" s="2729"/>
      <c r="O73" s="2733" t="s">
        <v>1433</v>
      </c>
    </row>
    <row r="74" spans="1:15" ht="30" customHeight="1" thickBot="1">
      <c r="A74" s="2736"/>
      <c r="B74" s="1311" t="s">
        <v>1933</v>
      </c>
      <c r="C74" s="1312" t="s">
        <v>1934</v>
      </c>
      <c r="D74" s="2713"/>
      <c r="E74" s="2713"/>
      <c r="F74" s="2769"/>
      <c r="G74" s="2724"/>
      <c r="H74" s="1313" t="s">
        <v>1935</v>
      </c>
      <c r="I74" s="1314" t="s">
        <v>1936</v>
      </c>
      <c r="J74" s="1315" t="s">
        <v>1433</v>
      </c>
      <c r="K74" s="1390" t="s">
        <v>1937</v>
      </c>
      <c r="L74" s="1390" t="s">
        <v>1301</v>
      </c>
      <c r="M74" s="1391" t="s">
        <v>52</v>
      </c>
      <c r="N74" s="1390" t="s">
        <v>1301</v>
      </c>
      <c r="O74" s="2734"/>
    </row>
    <row r="75" spans="1:15" s="1138" customFormat="1" ht="15" customHeight="1">
      <c r="A75" s="1361" t="s">
        <v>587</v>
      </c>
      <c r="B75" s="1395" t="s">
        <v>793</v>
      </c>
      <c r="C75" s="1395">
        <v>5</v>
      </c>
      <c r="D75" s="1396" t="s">
        <v>56</v>
      </c>
      <c r="E75" s="1397" t="s">
        <v>57</v>
      </c>
      <c r="F75" s="1362">
        <v>61800</v>
      </c>
      <c r="G75" s="1362"/>
      <c r="H75" s="1362"/>
      <c r="I75" s="1321">
        <f>(H75)*11</f>
        <v>0</v>
      </c>
      <c r="J75" s="1321">
        <f>SUM(F75,G75,I75)</f>
        <v>61800</v>
      </c>
      <c r="K75" s="1364"/>
      <c r="L75" s="1364"/>
      <c r="M75" s="1364"/>
      <c r="N75" s="1364"/>
      <c r="O75" s="1365">
        <f>SUM(J75,N75,L75)</f>
        <v>61800</v>
      </c>
    </row>
    <row r="76" spans="1:15" ht="19.5" customHeight="1" thickBot="1">
      <c r="A76" s="2799" t="s">
        <v>1433</v>
      </c>
      <c r="B76" s="2800"/>
      <c r="C76" s="2800"/>
      <c r="D76" s="2800"/>
      <c r="E76" s="2800"/>
      <c r="F76" s="1398">
        <f>SUM(F75)</f>
        <v>61800</v>
      </c>
      <c r="G76" s="1398"/>
      <c r="H76" s="1392"/>
      <c r="I76" s="1398">
        <f>SUM(I75)</f>
        <v>0</v>
      </c>
      <c r="J76" s="1398">
        <f>SUM(J75)</f>
        <v>61800</v>
      </c>
      <c r="K76" s="2803"/>
      <c r="L76" s="2800"/>
      <c r="M76" s="2803"/>
      <c r="N76" s="2800"/>
      <c r="O76" s="1394">
        <f>SUM(J76,M76)</f>
        <v>61800</v>
      </c>
    </row>
    <row r="77" spans="1:15" ht="12.75">
      <c r="A77" s="2703" t="s">
        <v>58</v>
      </c>
      <c r="B77" s="2703"/>
      <c r="C77" s="2703"/>
      <c r="D77" s="2703"/>
      <c r="E77" s="2703"/>
      <c r="F77" s="2703"/>
      <c r="G77" s="2703"/>
      <c r="H77" s="2703"/>
      <c r="I77" s="2703"/>
      <c r="J77" s="2703"/>
      <c r="K77" s="2703"/>
      <c r="L77" s="2703"/>
      <c r="M77" s="2703"/>
      <c r="N77" s="2703"/>
      <c r="O77" s="2703"/>
    </row>
  </sheetData>
  <sheetProtection/>
  <mergeCells count="153">
    <mergeCell ref="L58:O58"/>
    <mergeCell ref="K55:N55"/>
    <mergeCell ref="K45:N45"/>
    <mergeCell ref="D44:E44"/>
    <mergeCell ref="K44:N44"/>
    <mergeCell ref="K47:N47"/>
    <mergeCell ref="D46:E46"/>
    <mergeCell ref="D49:E49"/>
    <mergeCell ref="K50:N50"/>
    <mergeCell ref="K53:N53"/>
    <mergeCell ref="K43:N43"/>
    <mergeCell ref="B42:C42"/>
    <mergeCell ref="B50:C50"/>
    <mergeCell ref="D50:E50"/>
    <mergeCell ref="D43:E43"/>
    <mergeCell ref="K49:N49"/>
    <mergeCell ref="K46:N46"/>
    <mergeCell ref="M76:N76"/>
    <mergeCell ref="A76:E76"/>
    <mergeCell ref="F73:F74"/>
    <mergeCell ref="G73:G74"/>
    <mergeCell ref="K73:L73"/>
    <mergeCell ref="A73:A74"/>
    <mergeCell ref="B73:C73"/>
    <mergeCell ref="K76:L76"/>
    <mergeCell ref="D73:D74"/>
    <mergeCell ref="E73:E74"/>
    <mergeCell ref="B33:C33"/>
    <mergeCell ref="B34:C34"/>
    <mergeCell ref="A55:E55"/>
    <mergeCell ref="B54:C54"/>
    <mergeCell ref="B43:C43"/>
    <mergeCell ref="D54:E54"/>
    <mergeCell ref="B53:C53"/>
    <mergeCell ref="B44:C44"/>
    <mergeCell ref="B45:C45"/>
    <mergeCell ref="B49:C49"/>
    <mergeCell ref="F67:F68"/>
    <mergeCell ref="H73:J73"/>
    <mergeCell ref="A70:E70"/>
    <mergeCell ref="B46:C46"/>
    <mergeCell ref="D47:E47"/>
    <mergeCell ref="D67:D68"/>
    <mergeCell ref="B47:C47"/>
    <mergeCell ref="A1:O1"/>
    <mergeCell ref="F16:F17"/>
    <mergeCell ref="H16:J16"/>
    <mergeCell ref="G16:G17"/>
    <mergeCell ref="K16:L16"/>
    <mergeCell ref="F12:H12"/>
    <mergeCell ref="F13:H13"/>
    <mergeCell ref="F8:L8"/>
    <mergeCell ref="F9:H9"/>
    <mergeCell ref="A10:B10"/>
    <mergeCell ref="A2:E2"/>
    <mergeCell ref="H2:J2"/>
    <mergeCell ref="F3:H3"/>
    <mergeCell ref="F10:H10"/>
    <mergeCell ref="F5:H5"/>
    <mergeCell ref="F6:H6"/>
    <mergeCell ref="F7:H7"/>
    <mergeCell ref="O37:O38"/>
    <mergeCell ref="A4:B4"/>
    <mergeCell ref="A24:H24"/>
    <mergeCell ref="K28:N28"/>
    <mergeCell ref="E26:E27"/>
    <mergeCell ref="D16:D17"/>
    <mergeCell ref="E16:E17"/>
    <mergeCell ref="F4:H4"/>
    <mergeCell ref="A25:O25"/>
    <mergeCell ref="K30:N30"/>
    <mergeCell ref="A37:A38"/>
    <mergeCell ref="K23:L23"/>
    <mergeCell ref="K34:N34"/>
    <mergeCell ref="A26:A27"/>
    <mergeCell ref="B30:C30"/>
    <mergeCell ref="K29:N29"/>
    <mergeCell ref="B29:C29"/>
    <mergeCell ref="A35:E35"/>
    <mergeCell ref="B28:C28"/>
    <mergeCell ref="B26:C26"/>
    <mergeCell ref="D26:D27"/>
    <mergeCell ref="F26:F27"/>
    <mergeCell ref="B32:C32"/>
    <mergeCell ref="K26:N27"/>
    <mergeCell ref="B31:C31"/>
    <mergeCell ref="G26:G27"/>
    <mergeCell ref="F11:H11"/>
    <mergeCell ref="H67:J67"/>
    <mergeCell ref="K54:N54"/>
    <mergeCell ref="K42:N42"/>
    <mergeCell ref="F63:H63"/>
    <mergeCell ref="F64:H64"/>
    <mergeCell ref="K33:N33"/>
    <mergeCell ref="A36:O36"/>
    <mergeCell ref="K32:N32"/>
    <mergeCell ref="M23:N23"/>
    <mergeCell ref="K35:N35"/>
    <mergeCell ref="O26:O27"/>
    <mergeCell ref="A15:O15"/>
    <mergeCell ref="A16:A17"/>
    <mergeCell ref="M16:N16"/>
    <mergeCell ref="O16:O17"/>
    <mergeCell ref="H26:J26"/>
    <mergeCell ref="K31:N31"/>
    <mergeCell ref="A23:E23"/>
    <mergeCell ref="B16:C16"/>
    <mergeCell ref="O67:O68"/>
    <mergeCell ref="A67:A68"/>
    <mergeCell ref="H59:J59"/>
    <mergeCell ref="D45:E45"/>
    <mergeCell ref="D53:E53"/>
    <mergeCell ref="F60:H60"/>
    <mergeCell ref="F62:H62"/>
    <mergeCell ref="F61:H61"/>
    <mergeCell ref="A66:O66"/>
    <mergeCell ref="B67:C67"/>
    <mergeCell ref="B37:C38"/>
    <mergeCell ref="K41:N41"/>
    <mergeCell ref="M73:N73"/>
    <mergeCell ref="K70:L70"/>
    <mergeCell ref="M70:N70"/>
    <mergeCell ref="K67:L67"/>
    <mergeCell ref="M67:N67"/>
    <mergeCell ref="A71:O71"/>
    <mergeCell ref="O73:O74"/>
    <mergeCell ref="G67:G68"/>
    <mergeCell ref="K37:N38"/>
    <mergeCell ref="G37:G38"/>
    <mergeCell ref="D37:E38"/>
    <mergeCell ref="D39:E39"/>
    <mergeCell ref="H37:J37"/>
    <mergeCell ref="F37:F38"/>
    <mergeCell ref="B39:C39"/>
    <mergeCell ref="D52:E52"/>
    <mergeCell ref="K52:N52"/>
    <mergeCell ref="D41:E41"/>
    <mergeCell ref="K40:N40"/>
    <mergeCell ref="D40:E40"/>
    <mergeCell ref="D42:E42"/>
    <mergeCell ref="K39:N39"/>
    <mergeCell ref="B41:C41"/>
    <mergeCell ref="B40:C40"/>
    <mergeCell ref="A77:O77"/>
    <mergeCell ref="B48:C48"/>
    <mergeCell ref="D48:E48"/>
    <mergeCell ref="K48:N48"/>
    <mergeCell ref="B51:C51"/>
    <mergeCell ref="D51:E51"/>
    <mergeCell ref="K51:N51"/>
    <mergeCell ref="B52:C52"/>
    <mergeCell ref="E67:E68"/>
    <mergeCell ref="A72:O7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&amp;CVÁROSI KÖNYVTÁR</oddHeader>
    <oddFooter>&amp;C&amp;P</oddFooter>
  </headerFooter>
  <rowBreaks count="2" manualBreakCount="2">
    <brk id="24" max="255" man="1"/>
    <brk id="56" max="255" man="1"/>
  </rowBreaks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48"/>
  </sheetPr>
  <dimension ref="A1:H272"/>
  <sheetViews>
    <sheetView view="pageLayout" workbookViewId="0" topLeftCell="A196">
      <selection activeCell="F194" sqref="F194"/>
    </sheetView>
  </sheetViews>
  <sheetFormatPr defaultColWidth="9.140625" defaultRowHeight="12.75"/>
  <cols>
    <col min="1" max="1" width="9.7109375" style="1206" customWidth="1"/>
    <col min="2" max="2" width="9.7109375" style="1207" customWidth="1"/>
    <col min="3" max="3" width="32.140625" style="1097" customWidth="1"/>
    <col min="4" max="4" width="10.7109375" style="1200" customWidth="1"/>
    <col min="5" max="5" width="10.7109375" style="1208" customWidth="1"/>
    <col min="6" max="6" width="17.00390625" style="1209" customWidth="1"/>
    <col min="7" max="7" width="9.8515625" style="1049" bestFit="1" customWidth="1"/>
    <col min="8" max="8" width="12.7109375" style="1089" bestFit="1" customWidth="1"/>
    <col min="9" max="16384" width="9.140625" style="1089" customWidth="1"/>
  </cols>
  <sheetData>
    <row r="1" spans="1:7" s="1034" customFormat="1" ht="13.5" customHeight="1">
      <c r="A1" s="2603" t="s">
        <v>163</v>
      </c>
      <c r="B1" s="2604"/>
      <c r="C1" s="2607" t="s">
        <v>818</v>
      </c>
      <c r="D1" s="2607"/>
      <c r="E1" s="2608"/>
      <c r="F1" s="1032" t="s">
        <v>819</v>
      </c>
      <c r="G1" s="1033"/>
    </row>
    <row r="2" spans="1:7" s="1034" customFormat="1" ht="13.5" customHeight="1" thickBot="1">
      <c r="A2" s="2605"/>
      <c r="B2" s="2606"/>
      <c r="C2" s="2609"/>
      <c r="D2" s="2609"/>
      <c r="E2" s="2610"/>
      <c r="F2" s="1035" t="s">
        <v>1889</v>
      </c>
      <c r="G2" s="1033"/>
    </row>
    <row r="3" spans="1:7" s="1037" customFormat="1" ht="22.5" customHeight="1" thickBot="1">
      <c r="A3" s="2698" t="s">
        <v>866</v>
      </c>
      <c r="B3" s="2699"/>
      <c r="C3" s="2699"/>
      <c r="D3" s="2699"/>
      <c r="E3" s="2699"/>
      <c r="F3" s="2700"/>
      <c r="G3" s="1036"/>
    </row>
    <row r="4" spans="1:7" s="1034" customFormat="1" ht="13.5" customHeight="1">
      <c r="A4" s="1038" t="s">
        <v>821</v>
      </c>
      <c r="B4" s="1039" t="s">
        <v>822</v>
      </c>
      <c r="C4" s="2591" t="s">
        <v>511</v>
      </c>
      <c r="D4" s="2592"/>
      <c r="E4" s="2592"/>
      <c r="F4" s="1040"/>
      <c r="G4" s="1033"/>
    </row>
    <row r="5" spans="1:7" s="1034" customFormat="1" ht="13.5" customHeight="1" thickBot="1">
      <c r="A5" s="1041">
        <v>51</v>
      </c>
      <c r="B5" s="1042"/>
      <c r="C5" s="2701" t="s">
        <v>242</v>
      </c>
      <c r="D5" s="2702"/>
      <c r="E5" s="1043"/>
      <c r="F5" s="1044"/>
      <c r="G5" s="1033"/>
    </row>
    <row r="6" spans="1:7" s="1034" customFormat="1" ht="12.75" customHeight="1">
      <c r="A6" s="2614">
        <v>511112</v>
      </c>
      <c r="B6" s="2625">
        <v>511212</v>
      </c>
      <c r="C6" s="1045" t="s">
        <v>867</v>
      </c>
      <c r="D6" s="1046">
        <f>'Bérek könyvtár'!H69</f>
        <v>84600</v>
      </c>
      <c r="E6" s="1047">
        <f>D6*11</f>
        <v>930600</v>
      </c>
      <c r="F6" s="2627">
        <f>ROUND(SUM(E6:E7)/1000,4)</f>
        <v>1015.2</v>
      </c>
      <c r="G6" s="1033"/>
    </row>
    <row r="7" spans="1:7" s="1050" customFormat="1" ht="12.75" customHeight="1" thickBot="1">
      <c r="A7" s="2658"/>
      <c r="B7" s="2659"/>
      <c r="C7" s="2696" t="s">
        <v>824</v>
      </c>
      <c r="D7" s="2697"/>
      <c r="E7" s="1048">
        <f>'Bérek könyvtár'!F69</f>
        <v>84600</v>
      </c>
      <c r="F7" s="2695"/>
      <c r="G7" s="1049"/>
    </row>
    <row r="8" spans="1:7" s="1052" customFormat="1" ht="12.75" customHeight="1">
      <c r="A8" s="2614">
        <v>511152</v>
      </c>
      <c r="B8" s="2625">
        <v>511252</v>
      </c>
      <c r="C8" s="2631" t="s">
        <v>868</v>
      </c>
      <c r="D8" s="2631"/>
      <c r="E8" s="1051"/>
      <c r="F8" s="2627">
        <f>ROUND(E9/1000,3)</f>
        <v>0</v>
      </c>
      <c r="G8" s="1049"/>
    </row>
    <row r="9" spans="1:7" s="1052" customFormat="1" ht="12.75" customHeight="1">
      <c r="A9" s="2658"/>
      <c r="B9" s="2659"/>
      <c r="C9" s="1053" t="s">
        <v>869</v>
      </c>
      <c r="D9" s="1054">
        <f>'Bérek könyvtár'!M69</f>
        <v>0</v>
      </c>
      <c r="E9" s="1055">
        <f>D9*2</f>
        <v>0</v>
      </c>
      <c r="F9" s="2695"/>
      <c r="G9" s="1049"/>
    </row>
    <row r="10" spans="1:7" s="1052" customFormat="1" ht="12.75" customHeight="1" thickBot="1">
      <c r="A10" s="1056">
        <v>513132</v>
      </c>
      <c r="B10" s="1057">
        <v>513232</v>
      </c>
      <c r="C10" s="2590" t="s">
        <v>831</v>
      </c>
      <c r="D10" s="2590"/>
      <c r="E10" s="2619"/>
      <c r="F10" s="1059">
        <v>0</v>
      </c>
      <c r="G10" s="1049"/>
    </row>
    <row r="11" spans="1:7" s="1052" customFormat="1" ht="12.75" customHeight="1">
      <c r="A11" s="2614">
        <v>516112</v>
      </c>
      <c r="B11" s="2625">
        <v>516212</v>
      </c>
      <c r="C11" s="1045" t="s">
        <v>870</v>
      </c>
      <c r="D11" s="1046">
        <f>'Bérek könyvtár'!H75</f>
        <v>0</v>
      </c>
      <c r="E11" s="1047">
        <f>D11*11</f>
        <v>0</v>
      </c>
      <c r="F11" s="2627">
        <f>ROUND(SUM(E11:E12)/1000,3)</f>
        <v>61.8</v>
      </c>
      <c r="G11" s="1049"/>
    </row>
    <row r="12" spans="1:7" s="1052" customFormat="1" ht="12.75" customHeight="1">
      <c r="A12" s="2658"/>
      <c r="B12" s="2659"/>
      <c r="C12" s="2696" t="s">
        <v>824</v>
      </c>
      <c r="D12" s="2697"/>
      <c r="E12" s="1048">
        <f>'Bérek könyvtár'!F75</f>
        <v>61800</v>
      </c>
      <c r="F12" s="2695"/>
      <c r="G12" s="1049"/>
    </row>
    <row r="13" spans="1:7" s="1063" customFormat="1" ht="13.5" thickBot="1">
      <c r="A13" s="1060">
        <v>51317</v>
      </c>
      <c r="B13" s="1060">
        <v>51327</v>
      </c>
      <c r="C13" s="2686" t="s">
        <v>871</v>
      </c>
      <c r="D13" s="2687"/>
      <c r="E13" s="2688"/>
      <c r="F13" s="1061">
        <v>45</v>
      </c>
      <c r="G13" s="1062"/>
    </row>
    <row r="14" spans="1:7" s="1066" customFormat="1" ht="22.5" customHeight="1" thickBot="1">
      <c r="A14" s="1064">
        <v>51</v>
      </c>
      <c r="B14" s="2689" t="s">
        <v>836</v>
      </c>
      <c r="C14" s="2690"/>
      <c r="D14" s="2690"/>
      <c r="E14" s="2691"/>
      <c r="F14" s="1065">
        <f>SUM(F6:F13)</f>
        <v>1122</v>
      </c>
      <c r="G14" s="1062"/>
    </row>
    <row r="15" spans="1:7" s="1067" customFormat="1" ht="31.5" customHeight="1" thickBot="1">
      <c r="A15" s="2692" t="s">
        <v>837</v>
      </c>
      <c r="B15" s="2692"/>
      <c r="C15" s="2692"/>
      <c r="D15" s="2692"/>
      <c r="E15" s="2692"/>
      <c r="F15" s="2692"/>
      <c r="G15" s="1049"/>
    </row>
    <row r="16" spans="1:7" s="1074" customFormat="1" ht="12.75" customHeight="1">
      <c r="A16" s="1068">
        <v>53112</v>
      </c>
      <c r="B16" s="1069">
        <v>53122</v>
      </c>
      <c r="C16" s="1070" t="s">
        <v>838</v>
      </c>
      <c r="D16" s="1071">
        <f>SUM(F6:F9,F11:F13)</f>
        <v>1122</v>
      </c>
      <c r="E16" s="1072" t="s">
        <v>839</v>
      </c>
      <c r="F16" s="1073">
        <f>D16*0.27</f>
        <v>302.94</v>
      </c>
      <c r="G16" s="1049"/>
    </row>
    <row r="17" spans="1:7" s="1075" customFormat="1" ht="22.5" customHeight="1" thickBot="1">
      <c r="A17" s="1064">
        <v>53</v>
      </c>
      <c r="B17" s="2600" t="s">
        <v>840</v>
      </c>
      <c r="C17" s="2601"/>
      <c r="D17" s="2601"/>
      <c r="E17" s="2602"/>
      <c r="F17" s="1065">
        <f>SUM(F16:F16)</f>
        <v>302.94</v>
      </c>
      <c r="G17" s="1062"/>
    </row>
    <row r="18" spans="1:7" s="1075" customFormat="1" ht="64.5" customHeight="1" thickBot="1">
      <c r="A18" s="1076"/>
      <c r="B18" s="1077"/>
      <c r="C18" s="1077"/>
      <c r="D18" s="1077"/>
      <c r="E18" s="1077"/>
      <c r="F18" s="1078"/>
      <c r="G18" s="1062"/>
    </row>
    <row r="19" spans="1:7" s="1034" customFormat="1" ht="13.5" customHeight="1">
      <c r="A19" s="2603" t="s">
        <v>163</v>
      </c>
      <c r="B19" s="2604"/>
      <c r="C19" s="2607" t="s">
        <v>818</v>
      </c>
      <c r="D19" s="2607"/>
      <c r="E19" s="2608"/>
      <c r="F19" s="1032" t="s">
        <v>819</v>
      </c>
      <c r="G19" s="1033"/>
    </row>
    <row r="20" spans="1:7" s="1034" customFormat="1" ht="13.5" customHeight="1">
      <c r="A20" s="2605"/>
      <c r="B20" s="2606"/>
      <c r="C20" s="2609"/>
      <c r="D20" s="2609"/>
      <c r="E20" s="2610"/>
      <c r="F20" s="1035" t="s">
        <v>1889</v>
      </c>
      <c r="G20" s="1033"/>
    </row>
    <row r="21" spans="1:7" s="1034" customFormat="1" ht="13.5" customHeight="1" thickBot="1">
      <c r="A21" s="1041" t="s">
        <v>841</v>
      </c>
      <c r="B21" s="1042"/>
      <c r="C21" s="2593" t="s">
        <v>842</v>
      </c>
      <c r="D21" s="2594"/>
      <c r="E21" s="2655"/>
      <c r="F21" s="1044"/>
      <c r="G21" s="1033"/>
    </row>
    <row r="22" spans="1:7" s="1052" customFormat="1" ht="12.75" customHeight="1">
      <c r="A22" s="1068">
        <v>5431</v>
      </c>
      <c r="B22" s="1069">
        <v>5432</v>
      </c>
      <c r="C22" s="2693" t="s">
        <v>1472</v>
      </c>
      <c r="D22" s="2694"/>
      <c r="E22" s="2694"/>
      <c r="F22" s="1079">
        <v>0</v>
      </c>
      <c r="G22" s="1049"/>
    </row>
    <row r="23" spans="1:7" s="1052" customFormat="1" ht="12.75" customHeight="1">
      <c r="A23" s="1080">
        <v>54711</v>
      </c>
      <c r="B23" s="1081">
        <v>54721</v>
      </c>
      <c r="C23" s="2584" t="s">
        <v>872</v>
      </c>
      <c r="D23" s="2654"/>
      <c r="E23" s="2654"/>
      <c r="F23" s="1082"/>
      <c r="G23" s="1049"/>
    </row>
    <row r="24" spans="1:7" s="1052" customFormat="1" ht="12.75" customHeight="1">
      <c r="A24" s="1080">
        <v>5481</v>
      </c>
      <c r="B24" s="1081">
        <v>5482</v>
      </c>
      <c r="C24" s="2584" t="s">
        <v>1273</v>
      </c>
      <c r="D24" s="2654"/>
      <c r="E24" s="2654"/>
      <c r="F24" s="1082"/>
      <c r="G24" s="1049"/>
    </row>
    <row r="25" spans="1:7" s="1052" customFormat="1" ht="12.75" customHeight="1">
      <c r="A25" s="1080">
        <v>5491</v>
      </c>
      <c r="B25" s="1081">
        <v>5492</v>
      </c>
      <c r="C25" s="2584" t="s">
        <v>847</v>
      </c>
      <c r="D25" s="2654"/>
      <c r="E25" s="2654"/>
      <c r="F25" s="1082">
        <v>30</v>
      </c>
      <c r="G25" s="1049"/>
    </row>
    <row r="26" spans="1:7" s="1052" customFormat="1" ht="12.75" customHeight="1">
      <c r="A26" s="1080"/>
      <c r="B26" s="1083"/>
      <c r="C26" s="2587" t="s">
        <v>848</v>
      </c>
      <c r="D26" s="2585"/>
      <c r="E26" s="2585"/>
      <c r="F26" s="1084">
        <f>SUM(F22:F25)</f>
        <v>30</v>
      </c>
      <c r="G26" s="1049"/>
    </row>
    <row r="27" spans="1:7" s="1052" customFormat="1" ht="12.75" customHeight="1">
      <c r="A27" s="1080">
        <v>55111</v>
      </c>
      <c r="B27" s="1081">
        <v>55121</v>
      </c>
      <c r="C27" s="2584" t="s">
        <v>849</v>
      </c>
      <c r="D27" s="2654"/>
      <c r="E27" s="2654"/>
      <c r="F27" s="1082">
        <v>40</v>
      </c>
      <c r="G27" s="1049"/>
    </row>
    <row r="28" spans="1:7" s="1052" customFormat="1" ht="12.75" customHeight="1">
      <c r="A28" s="1080">
        <v>55112</v>
      </c>
      <c r="B28" s="1081">
        <v>55122</v>
      </c>
      <c r="C28" s="2584" t="s">
        <v>873</v>
      </c>
      <c r="D28" s="2654"/>
      <c r="E28" s="2654"/>
      <c r="F28" s="1082">
        <v>30</v>
      </c>
      <c r="G28" s="1049"/>
    </row>
    <row r="29" spans="1:7" s="1052" customFormat="1" ht="12.75" customHeight="1">
      <c r="A29" s="1080">
        <v>55214</v>
      </c>
      <c r="B29" s="1081">
        <v>55224</v>
      </c>
      <c r="C29" s="2570" t="s">
        <v>851</v>
      </c>
      <c r="D29" s="2571"/>
      <c r="E29" s="2586"/>
      <c r="F29" s="1082">
        <v>800</v>
      </c>
      <c r="G29" s="1049"/>
    </row>
    <row r="30" spans="1:7" s="1052" customFormat="1" ht="12.75" customHeight="1">
      <c r="A30" s="1080">
        <v>55215</v>
      </c>
      <c r="B30" s="1081">
        <v>55225</v>
      </c>
      <c r="C30" s="2570" t="s">
        <v>852</v>
      </c>
      <c r="D30" s="2571"/>
      <c r="E30" s="2586"/>
      <c r="F30" s="1082">
        <v>130</v>
      </c>
      <c r="G30" s="1049"/>
    </row>
    <row r="31" spans="1:7" s="1052" customFormat="1" ht="12.75" customHeight="1">
      <c r="A31" s="1080">
        <v>55217</v>
      </c>
      <c r="B31" s="1081">
        <v>55227</v>
      </c>
      <c r="C31" s="2570" t="s">
        <v>853</v>
      </c>
      <c r="D31" s="2685"/>
      <c r="E31" s="2572"/>
      <c r="F31" s="1082">
        <v>20</v>
      </c>
      <c r="G31" s="1049"/>
    </row>
    <row r="32" spans="1:7" s="1052" customFormat="1" ht="12.75" customHeight="1">
      <c r="A32" s="1080">
        <v>55218</v>
      </c>
      <c r="B32" s="1081">
        <v>55228</v>
      </c>
      <c r="C32" s="2584" t="s">
        <v>854</v>
      </c>
      <c r="D32" s="2654"/>
      <c r="E32" s="2654"/>
      <c r="F32" s="1082"/>
      <c r="G32" s="1049"/>
    </row>
    <row r="33" spans="1:7" s="1052" customFormat="1" ht="12.75" customHeight="1">
      <c r="A33" s="1080">
        <v>55219</v>
      </c>
      <c r="B33" s="1081">
        <v>55229</v>
      </c>
      <c r="C33" s="2584" t="s">
        <v>874</v>
      </c>
      <c r="D33" s="2654"/>
      <c r="E33" s="2654"/>
      <c r="F33" s="1082">
        <v>20</v>
      </c>
      <c r="G33" s="1049"/>
    </row>
    <row r="34" spans="1:7" s="1052" customFormat="1" ht="12.75" customHeight="1">
      <c r="A34" s="1080">
        <v>5531</v>
      </c>
      <c r="B34" s="1081">
        <v>5532</v>
      </c>
      <c r="C34" s="2584" t="s">
        <v>857</v>
      </c>
      <c r="D34" s="2654"/>
      <c r="E34" s="2654"/>
      <c r="F34" s="1082"/>
      <c r="G34" s="1049"/>
    </row>
    <row r="35" spans="1:7" s="1085" customFormat="1" ht="12.75" customHeight="1">
      <c r="A35" s="1080"/>
      <c r="B35" s="1083"/>
      <c r="C35" s="2587" t="s">
        <v>858</v>
      </c>
      <c r="D35" s="2585"/>
      <c r="E35" s="2585"/>
      <c r="F35" s="1084">
        <f>SUM(F27:F34)</f>
        <v>1040</v>
      </c>
      <c r="G35" s="1049"/>
    </row>
    <row r="36" spans="1:7" s="1085" customFormat="1" ht="12.75" customHeight="1">
      <c r="A36" s="1086">
        <v>56112</v>
      </c>
      <c r="B36" s="1081">
        <v>56122</v>
      </c>
      <c r="C36" s="2590" t="s">
        <v>859</v>
      </c>
      <c r="D36" s="2585"/>
      <c r="E36" s="1087">
        <v>0.25</v>
      </c>
      <c r="F36" s="1088">
        <f>SUM(F22:F25,F27:F34)*0.25</f>
        <v>267.5</v>
      </c>
      <c r="G36" s="1049"/>
    </row>
    <row r="37" spans="1:7" s="1085" customFormat="1" ht="12.75" customHeight="1">
      <c r="A37" s="1080">
        <v>56211</v>
      </c>
      <c r="B37" s="1081">
        <v>56221</v>
      </c>
      <c r="C37" s="2584" t="s">
        <v>1400</v>
      </c>
      <c r="D37" s="2654"/>
      <c r="E37" s="2654"/>
      <c r="F37" s="1088">
        <v>0</v>
      </c>
      <c r="G37" s="1049"/>
    </row>
    <row r="38" spans="1:6" ht="12.75" customHeight="1">
      <c r="A38" s="1080">
        <v>56213</v>
      </c>
      <c r="B38" s="1081">
        <v>56223</v>
      </c>
      <c r="C38" s="2584" t="s">
        <v>1401</v>
      </c>
      <c r="D38" s="2654"/>
      <c r="E38" s="2654"/>
      <c r="F38" s="1088">
        <v>0</v>
      </c>
    </row>
    <row r="39" spans="1:7" s="1093" customFormat="1" ht="14.25" customHeight="1">
      <c r="A39" s="1090">
        <v>57119</v>
      </c>
      <c r="B39" s="1091">
        <v>57129</v>
      </c>
      <c r="C39" s="2683" t="s">
        <v>875</v>
      </c>
      <c r="D39" s="2684"/>
      <c r="E39" s="2684"/>
      <c r="F39" s="1092">
        <v>0</v>
      </c>
      <c r="G39" s="1049"/>
    </row>
    <row r="40" spans="1:6" ht="12.75">
      <c r="A40" s="1094"/>
      <c r="B40" s="1083"/>
      <c r="C40" s="2587" t="s">
        <v>876</v>
      </c>
      <c r="D40" s="2585"/>
      <c r="E40" s="2585"/>
      <c r="F40" s="1084">
        <f>SUM(F36:F39)</f>
        <v>267.5</v>
      </c>
    </row>
    <row r="41" spans="1:7" s="1097" customFormat="1" ht="28.5" customHeight="1" thickBot="1">
      <c r="A41" s="1095" t="s">
        <v>841</v>
      </c>
      <c r="B41" s="2681" t="s">
        <v>877</v>
      </c>
      <c r="C41" s="2681"/>
      <c r="D41" s="2681"/>
      <c r="E41" s="2681"/>
      <c r="F41" s="1096">
        <f>SUM(F22:F25,F27:F34,F36:F39)</f>
        <v>1337.5</v>
      </c>
      <c r="G41" s="1062"/>
    </row>
    <row r="42" spans="1:7" s="1099" customFormat="1" ht="39" customHeight="1" thickBot="1">
      <c r="A42" s="2682" t="s">
        <v>878</v>
      </c>
      <c r="B42" s="2682"/>
      <c r="C42" s="2682"/>
      <c r="D42" s="2682"/>
      <c r="E42" s="2682"/>
      <c r="F42" s="1098">
        <f>SUM(F14,F17,F41)</f>
        <v>2762.44</v>
      </c>
      <c r="G42" s="1049"/>
    </row>
    <row r="43" spans="1:7" s="1034" customFormat="1" ht="13.5" customHeight="1">
      <c r="A43" s="2603" t="s">
        <v>163</v>
      </c>
      <c r="B43" s="2604"/>
      <c r="C43" s="2607" t="s">
        <v>818</v>
      </c>
      <c r="D43" s="2607"/>
      <c r="E43" s="2608"/>
      <c r="F43" s="1032" t="s">
        <v>819</v>
      </c>
      <c r="G43" s="1033"/>
    </row>
    <row r="44" spans="1:7" s="1034" customFormat="1" ht="13.5" customHeight="1">
      <c r="A44" s="2605"/>
      <c r="B44" s="2606"/>
      <c r="C44" s="2609"/>
      <c r="D44" s="2609"/>
      <c r="E44" s="2610"/>
      <c r="F44" s="1035" t="s">
        <v>1889</v>
      </c>
      <c r="G44" s="1033"/>
    </row>
    <row r="45" spans="1:7" s="1037" customFormat="1" ht="22.5" customHeight="1" thickBot="1">
      <c r="A45" s="2616" t="s">
        <v>820</v>
      </c>
      <c r="B45" s="2617"/>
      <c r="C45" s="2617"/>
      <c r="D45" s="2617"/>
      <c r="E45" s="2617"/>
      <c r="F45" s="2618"/>
      <c r="G45" s="1062"/>
    </row>
    <row r="46" spans="1:7" s="1034" customFormat="1" ht="13.5" customHeight="1">
      <c r="A46" s="1038" t="s">
        <v>821</v>
      </c>
      <c r="B46" s="1039" t="s">
        <v>822</v>
      </c>
      <c r="C46" s="2591" t="s">
        <v>511</v>
      </c>
      <c r="D46" s="2592"/>
      <c r="E46" s="2592"/>
      <c r="F46" s="1040"/>
      <c r="G46" s="1033"/>
    </row>
    <row r="47" spans="1:7" s="1034" customFormat="1" ht="13.5" customHeight="1" thickBot="1">
      <c r="A47" s="1100">
        <v>51</v>
      </c>
      <c r="B47" s="1101"/>
      <c r="C47" s="2637" t="s">
        <v>242</v>
      </c>
      <c r="D47" s="2638"/>
      <c r="E47" s="1102"/>
      <c r="F47" s="1103"/>
      <c r="G47" s="1033"/>
    </row>
    <row r="48" spans="1:7" s="1034" customFormat="1" ht="12.75" customHeight="1">
      <c r="A48" s="2614">
        <v>511112</v>
      </c>
      <c r="B48" s="2625">
        <v>511212</v>
      </c>
      <c r="C48" s="1045" t="s">
        <v>823</v>
      </c>
      <c r="D48" s="1046">
        <f>'Bérek könyvtár'!H18</f>
        <v>225100</v>
      </c>
      <c r="E48" s="1047">
        <f>D48*11</f>
        <v>2476100</v>
      </c>
      <c r="F48" s="2632">
        <f>ROUND(SUM(E48:E49)/1000,4)</f>
        <v>2701.2</v>
      </c>
      <c r="G48" s="1033"/>
    </row>
    <row r="49" spans="1:7" s="1050" customFormat="1" ht="12.75" customHeight="1" thickBot="1">
      <c r="A49" s="2615"/>
      <c r="B49" s="2626"/>
      <c r="C49" s="2629" t="s">
        <v>824</v>
      </c>
      <c r="D49" s="2630"/>
      <c r="E49" s="1104">
        <f>'Bérek könyvtár'!F18</f>
        <v>225100</v>
      </c>
      <c r="F49" s="2633"/>
      <c r="G49" s="1049"/>
    </row>
    <row r="50" spans="1:7" s="1050" customFormat="1" ht="12.75" customHeight="1">
      <c r="A50" s="2614">
        <v>511112</v>
      </c>
      <c r="B50" s="2625">
        <v>511212</v>
      </c>
      <c r="C50" s="1045" t="s">
        <v>825</v>
      </c>
      <c r="D50" s="1046">
        <f>'Bérek könyvtár'!H19</f>
        <v>126300</v>
      </c>
      <c r="E50" s="1047">
        <f>D50*11</f>
        <v>1389300</v>
      </c>
      <c r="F50" s="2632">
        <f>ROUND(SUM(E50:E51)/1000,4)</f>
        <v>1515.6</v>
      </c>
      <c r="G50" s="1049"/>
    </row>
    <row r="51" spans="1:7" s="1050" customFormat="1" ht="12.75" customHeight="1" thickBot="1">
      <c r="A51" s="2615"/>
      <c r="B51" s="2626"/>
      <c r="C51" s="2629" t="s">
        <v>824</v>
      </c>
      <c r="D51" s="2630"/>
      <c r="E51" s="1104">
        <f>'Bérek könyvtár'!F19</f>
        <v>126300</v>
      </c>
      <c r="F51" s="2633"/>
      <c r="G51" s="1049"/>
    </row>
    <row r="52" spans="1:7" s="1052" customFormat="1" ht="12.75" customHeight="1">
      <c r="A52" s="2634">
        <v>511112</v>
      </c>
      <c r="B52" s="2635">
        <v>511212</v>
      </c>
      <c r="C52" s="1105" t="s">
        <v>826</v>
      </c>
      <c r="D52" s="1106">
        <f>'Bérek könyvtár'!H20</f>
        <v>196100</v>
      </c>
      <c r="E52" s="1107">
        <f>D52*11</f>
        <v>2157100</v>
      </c>
      <c r="F52" s="2636">
        <f>ROUND(SUM(E52:E53)/1000,4)</f>
        <v>2353.2</v>
      </c>
      <c r="G52" s="1049"/>
    </row>
    <row r="53" spans="1:7" s="1050" customFormat="1" ht="12.75" customHeight="1" thickBot="1">
      <c r="A53" s="2615"/>
      <c r="B53" s="2626"/>
      <c r="C53" s="2629" t="s">
        <v>824</v>
      </c>
      <c r="D53" s="2630"/>
      <c r="E53" s="1108">
        <f>'Bérek könyvtár'!F20</f>
        <v>196100</v>
      </c>
      <c r="F53" s="2633"/>
      <c r="G53" s="1049"/>
    </row>
    <row r="54" spans="1:8" s="1050" customFormat="1" ht="12.75" customHeight="1">
      <c r="A54" s="2614">
        <v>511112</v>
      </c>
      <c r="B54" s="2625">
        <v>511212</v>
      </c>
      <c r="C54" s="1045" t="s">
        <v>827</v>
      </c>
      <c r="D54" s="1046">
        <f>'Bérek könyvtár'!H21</f>
        <v>130800</v>
      </c>
      <c r="E54" s="1047">
        <f>D54*11</f>
        <v>1438800</v>
      </c>
      <c r="F54" s="2632">
        <f>ROUND(SUM(E54:E55)/1000,4)</f>
        <v>1569.6</v>
      </c>
      <c r="G54" s="1049"/>
      <c r="H54" s="1109"/>
    </row>
    <row r="55" spans="1:7" s="1050" customFormat="1" ht="12.75" customHeight="1" thickBot="1">
      <c r="A55" s="2615"/>
      <c r="B55" s="2626"/>
      <c r="C55" s="2629" t="s">
        <v>824</v>
      </c>
      <c r="D55" s="2630"/>
      <c r="E55" s="1108">
        <f>'Bérek könyvtár'!F21</f>
        <v>130800</v>
      </c>
      <c r="F55" s="2633"/>
      <c r="G55" s="1049"/>
    </row>
    <row r="56" spans="1:7" s="1113" customFormat="1" ht="12.75" customHeight="1" thickBot="1">
      <c r="A56" s="1110">
        <v>511112</v>
      </c>
      <c r="B56" s="1111"/>
      <c r="C56" s="2611" t="s">
        <v>828</v>
      </c>
      <c r="D56" s="2612"/>
      <c r="E56" s="2613"/>
      <c r="F56" s="1112">
        <f>F48+F50+F52+F54</f>
        <v>8139.5999999999985</v>
      </c>
      <c r="G56" s="1049"/>
    </row>
    <row r="57" spans="1:7" s="1052" customFormat="1" ht="12.75" customHeight="1">
      <c r="A57" s="2623">
        <v>511142</v>
      </c>
      <c r="B57" s="2625">
        <v>511242</v>
      </c>
      <c r="C57" s="2631" t="s">
        <v>829</v>
      </c>
      <c r="D57" s="2631"/>
      <c r="E57" s="1051"/>
      <c r="F57" s="2627">
        <f>ROUND(E58/1000,3)</f>
        <v>540</v>
      </c>
      <c r="G57" s="1049"/>
    </row>
    <row r="58" spans="1:7" s="1052" customFormat="1" ht="12.75" customHeight="1" thickBot="1">
      <c r="A58" s="2624"/>
      <c r="B58" s="2626"/>
      <c r="C58" s="1114" t="s">
        <v>830</v>
      </c>
      <c r="D58" s="1115">
        <f>'Bérek könyvtár'!M18</f>
        <v>45000</v>
      </c>
      <c r="E58" s="1116">
        <f>D58*12</f>
        <v>540000</v>
      </c>
      <c r="F58" s="2628"/>
      <c r="G58" s="1049"/>
    </row>
    <row r="59" spans="1:7" s="1052" customFormat="1" ht="12.75" customHeight="1">
      <c r="A59" s="1056">
        <v>513132</v>
      </c>
      <c r="B59" s="1057">
        <v>513232</v>
      </c>
      <c r="C59" s="2590" t="s">
        <v>831</v>
      </c>
      <c r="D59" s="2590"/>
      <c r="E59" s="2619"/>
      <c r="F59" s="1059">
        <v>3</v>
      </c>
      <c r="G59" s="1049"/>
    </row>
    <row r="60" spans="1:7" s="1052" customFormat="1" ht="12.75" customHeight="1">
      <c r="A60" s="1056">
        <v>514132</v>
      </c>
      <c r="B60" s="1057">
        <v>514232</v>
      </c>
      <c r="C60" s="2590" t="s">
        <v>832</v>
      </c>
      <c r="D60" s="2590"/>
      <c r="E60" s="2619"/>
      <c r="F60" s="1059">
        <v>120</v>
      </c>
      <c r="G60" s="1117"/>
    </row>
    <row r="61" spans="1:7" s="1052" customFormat="1" ht="12.75" customHeight="1" thickBot="1">
      <c r="A61" s="1060">
        <v>51317</v>
      </c>
      <c r="B61" s="1118">
        <v>51327</v>
      </c>
      <c r="C61" s="2620" t="s">
        <v>833</v>
      </c>
      <c r="D61" s="2621"/>
      <c r="E61" s="2622"/>
      <c r="F61" s="1119">
        <v>0</v>
      </c>
      <c r="G61" s="1049"/>
    </row>
    <row r="62" spans="1:7" s="1052" customFormat="1" ht="12.75" customHeight="1" thickBot="1">
      <c r="A62" s="1120"/>
      <c r="B62" s="1121"/>
      <c r="C62" s="1122" t="s">
        <v>834</v>
      </c>
      <c r="D62" s="1123"/>
      <c r="E62" s="1124"/>
      <c r="F62" s="1125"/>
      <c r="G62" s="1049"/>
    </row>
    <row r="63" spans="1:7" s="1052" customFormat="1" ht="12.75" customHeight="1">
      <c r="A63" s="2623">
        <v>516112</v>
      </c>
      <c r="B63" s="2625">
        <v>516212</v>
      </c>
      <c r="C63" s="1045" t="s">
        <v>835</v>
      </c>
      <c r="D63" s="1046">
        <f>'Bérek könyvtár'!H22</f>
        <v>71800</v>
      </c>
      <c r="E63" s="1047">
        <f>D63*11</f>
        <v>789800</v>
      </c>
      <c r="F63" s="2627">
        <f>ROUND(SUM(E63:E64)/1000,4)</f>
        <v>861.6</v>
      </c>
      <c r="G63" s="1049"/>
    </row>
    <row r="64" spans="1:7" s="1052" customFormat="1" ht="12.75" customHeight="1" thickBot="1">
      <c r="A64" s="2624"/>
      <c r="B64" s="2626"/>
      <c r="C64" s="2629" t="s">
        <v>824</v>
      </c>
      <c r="D64" s="2630"/>
      <c r="E64" s="1108">
        <f>'Bérek könyvtár'!F22</f>
        <v>71800</v>
      </c>
      <c r="F64" s="2628"/>
      <c r="G64" s="1049"/>
    </row>
    <row r="65" spans="1:7" s="1063" customFormat="1" ht="20.25" customHeight="1" thickBot="1">
      <c r="A65" s="1126" t="s">
        <v>164</v>
      </c>
      <c r="B65" s="2600" t="s">
        <v>836</v>
      </c>
      <c r="C65" s="2601"/>
      <c r="D65" s="2601"/>
      <c r="E65" s="2602"/>
      <c r="F65" s="1127">
        <f>F56+F57+F59+F60+F61+F63</f>
        <v>9664.199999999999</v>
      </c>
      <c r="G65" s="1062"/>
    </row>
    <row r="66" spans="1:7" s="1052" customFormat="1" ht="69.75" customHeight="1" thickBot="1">
      <c r="A66" s="2599" t="s">
        <v>837</v>
      </c>
      <c r="B66" s="2599"/>
      <c r="C66" s="2599"/>
      <c r="D66" s="2599"/>
      <c r="E66" s="2599"/>
      <c r="F66" s="2599"/>
      <c r="G66" s="1049"/>
    </row>
    <row r="67" spans="1:7" s="1052" customFormat="1" ht="12.75" customHeight="1">
      <c r="A67" s="1068">
        <v>53112</v>
      </c>
      <c r="B67" s="1069">
        <v>53122</v>
      </c>
      <c r="C67" s="1070" t="s">
        <v>838</v>
      </c>
      <c r="D67" s="1071">
        <f>F65-F59-F60</f>
        <v>9541.199999999999</v>
      </c>
      <c r="E67" s="1072" t="s">
        <v>839</v>
      </c>
      <c r="F67" s="1073">
        <f>D67*0.27</f>
        <v>2576.124</v>
      </c>
      <c r="G67" s="1049"/>
    </row>
    <row r="68" spans="1:7" s="1066" customFormat="1" ht="21" customHeight="1" thickBot="1">
      <c r="A68" s="1126">
        <v>53</v>
      </c>
      <c r="B68" s="2600" t="s">
        <v>840</v>
      </c>
      <c r="C68" s="2601"/>
      <c r="D68" s="2601"/>
      <c r="E68" s="2602"/>
      <c r="F68" s="1065">
        <f>SUM(F67:F67)</f>
        <v>2576.124</v>
      </c>
      <c r="G68" s="1062"/>
    </row>
    <row r="69" spans="1:7" s="1034" customFormat="1" ht="13.5" customHeight="1">
      <c r="A69" s="2603" t="s">
        <v>163</v>
      </c>
      <c r="B69" s="2604"/>
      <c r="C69" s="2607" t="s">
        <v>818</v>
      </c>
      <c r="D69" s="2607"/>
      <c r="E69" s="2608"/>
      <c r="F69" s="1032" t="s">
        <v>819</v>
      </c>
      <c r="G69" s="1033"/>
    </row>
    <row r="70" spans="1:7" s="1037" customFormat="1" ht="22.5" customHeight="1">
      <c r="A70" s="2605"/>
      <c r="B70" s="2606"/>
      <c r="C70" s="2609"/>
      <c r="D70" s="2609"/>
      <c r="E70" s="2610"/>
      <c r="F70" s="1035" t="s">
        <v>1889</v>
      </c>
      <c r="G70" s="1062"/>
    </row>
    <row r="71" spans="1:7" s="1034" customFormat="1" ht="20.25" customHeight="1" thickBot="1">
      <c r="A71" s="2616" t="s">
        <v>820</v>
      </c>
      <c r="B71" s="2617"/>
      <c r="C71" s="2617"/>
      <c r="D71" s="2617"/>
      <c r="E71" s="2617"/>
      <c r="F71" s="2618"/>
      <c r="G71" s="1033"/>
    </row>
    <row r="72" spans="1:7" s="1034" customFormat="1" ht="15.75" customHeight="1">
      <c r="A72" s="1038" t="s">
        <v>821</v>
      </c>
      <c r="B72" s="1039" t="s">
        <v>822</v>
      </c>
      <c r="C72" s="2591" t="s">
        <v>511</v>
      </c>
      <c r="D72" s="2592"/>
      <c r="E72" s="2592"/>
      <c r="F72" s="1040"/>
      <c r="G72" s="1033"/>
    </row>
    <row r="73" spans="1:7" s="1052" customFormat="1" ht="12.75" customHeight="1" thickBot="1">
      <c r="A73" s="1041" t="s">
        <v>841</v>
      </c>
      <c r="B73" s="1042"/>
      <c r="C73" s="2593" t="s">
        <v>842</v>
      </c>
      <c r="D73" s="2594"/>
      <c r="E73" s="2595"/>
      <c r="F73" s="1044"/>
      <c r="G73" s="1049"/>
    </row>
    <row r="74" spans="1:7" s="1052" customFormat="1" ht="12.75" customHeight="1">
      <c r="A74" s="1068">
        <v>5431</v>
      </c>
      <c r="B74" s="1069">
        <v>5432</v>
      </c>
      <c r="C74" s="2596" t="s">
        <v>1472</v>
      </c>
      <c r="D74" s="2597"/>
      <c r="E74" s="2598"/>
      <c r="F74" s="1079">
        <v>50</v>
      </c>
      <c r="G74" s="1049"/>
    </row>
    <row r="75" spans="1:7" s="1052" customFormat="1" ht="12.75" customHeight="1">
      <c r="A75" s="1080">
        <v>54411</v>
      </c>
      <c r="B75" s="1081">
        <v>54421</v>
      </c>
      <c r="C75" s="2570" t="s">
        <v>843</v>
      </c>
      <c r="D75" s="2571"/>
      <c r="E75" s="2586"/>
      <c r="F75" s="1082">
        <v>1700</v>
      </c>
      <c r="G75" s="1049"/>
    </row>
    <row r="76" spans="1:7" s="1052" customFormat="1" ht="12.75" customHeight="1">
      <c r="A76" s="1080">
        <v>54412</v>
      </c>
      <c r="B76" s="1081">
        <v>54422</v>
      </c>
      <c r="C76" s="2570" t="s">
        <v>844</v>
      </c>
      <c r="D76" s="2571"/>
      <c r="E76" s="2586"/>
      <c r="F76" s="1082">
        <v>450</v>
      </c>
      <c r="G76" s="1049"/>
    </row>
    <row r="77" spans="1:7" s="1052" customFormat="1" ht="12.75" customHeight="1">
      <c r="A77" s="1080">
        <v>54711</v>
      </c>
      <c r="B77" s="1081">
        <v>54721</v>
      </c>
      <c r="C77" s="2570" t="s">
        <v>845</v>
      </c>
      <c r="D77" s="2571"/>
      <c r="E77" s="2572"/>
      <c r="F77" s="1082">
        <v>40</v>
      </c>
      <c r="G77" s="1049"/>
    </row>
    <row r="78" spans="1:7" s="1052" customFormat="1" ht="12.75" customHeight="1">
      <c r="A78" s="1080">
        <v>54712</v>
      </c>
      <c r="B78" s="1081">
        <v>54722</v>
      </c>
      <c r="C78" s="2570" t="s">
        <v>846</v>
      </c>
      <c r="D78" s="2571"/>
      <c r="E78" s="2572"/>
      <c r="F78" s="1082">
        <v>30</v>
      </c>
      <c r="G78" s="1049"/>
    </row>
    <row r="79" spans="1:7" s="1052" customFormat="1" ht="12.75" customHeight="1">
      <c r="A79" s="1080">
        <v>5491</v>
      </c>
      <c r="B79" s="1081">
        <v>5492</v>
      </c>
      <c r="C79" s="2570" t="s">
        <v>847</v>
      </c>
      <c r="D79" s="2571"/>
      <c r="E79" s="2572"/>
      <c r="F79" s="1082">
        <v>150</v>
      </c>
      <c r="G79" s="1049"/>
    </row>
    <row r="80" spans="1:7" s="1052" customFormat="1" ht="12.75" customHeight="1">
      <c r="A80" s="2588"/>
      <c r="B80" s="2589"/>
      <c r="C80" s="2587" t="s">
        <v>848</v>
      </c>
      <c r="D80" s="2585"/>
      <c r="E80" s="2585"/>
      <c r="F80" s="1084">
        <f>SUM(F74:F79)</f>
        <v>2420</v>
      </c>
      <c r="G80" s="1049"/>
    </row>
    <row r="81" spans="1:7" s="1052" customFormat="1" ht="12.75" customHeight="1">
      <c r="A81" s="1080">
        <v>55111</v>
      </c>
      <c r="B81" s="1081">
        <v>55121</v>
      </c>
      <c r="C81" s="2570" t="s">
        <v>849</v>
      </c>
      <c r="D81" s="2571"/>
      <c r="E81" s="2572"/>
      <c r="F81" s="1082">
        <v>170</v>
      </c>
      <c r="G81" s="1049"/>
    </row>
    <row r="82" spans="1:7" s="1052" customFormat="1" ht="12.75" customHeight="1">
      <c r="A82" s="1080">
        <v>55119</v>
      </c>
      <c r="B82" s="1081">
        <v>55129</v>
      </c>
      <c r="C82" s="2570" t="s">
        <v>850</v>
      </c>
      <c r="D82" s="2571"/>
      <c r="E82" s="2572"/>
      <c r="F82" s="1082">
        <v>166</v>
      </c>
      <c r="G82" s="1049"/>
    </row>
    <row r="83" spans="1:7" s="1052" customFormat="1" ht="12.75" customHeight="1">
      <c r="A83" s="1080">
        <v>552121</v>
      </c>
      <c r="B83" s="1081">
        <v>552221</v>
      </c>
      <c r="C83" s="2570" t="s">
        <v>645</v>
      </c>
      <c r="D83" s="2571"/>
      <c r="E83" s="2572"/>
      <c r="F83" s="1082">
        <v>235</v>
      </c>
      <c r="G83" s="1049"/>
    </row>
    <row r="84" spans="1:7" s="1052" customFormat="1" ht="12.75" customHeight="1">
      <c r="A84" s="1080">
        <v>55214</v>
      </c>
      <c r="B84" s="1081">
        <v>55224</v>
      </c>
      <c r="C84" s="2570" t="s">
        <v>851</v>
      </c>
      <c r="D84" s="2571"/>
      <c r="E84" s="2586"/>
      <c r="F84" s="1082">
        <v>1000</v>
      </c>
      <c r="G84" s="1049"/>
    </row>
    <row r="85" spans="1:7" s="1052" customFormat="1" ht="12.75" customHeight="1">
      <c r="A85" s="1080">
        <v>55215</v>
      </c>
      <c r="B85" s="1081">
        <v>55225</v>
      </c>
      <c r="C85" s="2570" t="s">
        <v>852</v>
      </c>
      <c r="D85" s="2571"/>
      <c r="E85" s="2586"/>
      <c r="F85" s="1082">
        <v>600</v>
      </c>
      <c r="G85" s="1049"/>
    </row>
    <row r="86" spans="1:7" s="1052" customFormat="1" ht="12.75" customHeight="1">
      <c r="A86" s="1080">
        <v>55217</v>
      </c>
      <c r="B86" s="1081">
        <v>55227</v>
      </c>
      <c r="C86" s="2570" t="s">
        <v>853</v>
      </c>
      <c r="D86" s="2571"/>
      <c r="E86" s="2572"/>
      <c r="F86" s="1082">
        <v>60</v>
      </c>
      <c r="G86" s="1049"/>
    </row>
    <row r="87" spans="1:7" s="1052" customFormat="1" ht="12.75" customHeight="1">
      <c r="A87" s="1080">
        <v>55218</v>
      </c>
      <c r="B87" s="1081">
        <v>55228</v>
      </c>
      <c r="C87" s="2570" t="s">
        <v>854</v>
      </c>
      <c r="D87" s="2571"/>
      <c r="E87" s="2572"/>
      <c r="F87" s="1082">
        <v>162</v>
      </c>
      <c r="G87" s="1049"/>
    </row>
    <row r="88" spans="1:7" s="1052" customFormat="1" ht="12.75" customHeight="1">
      <c r="A88" s="1080">
        <v>55219</v>
      </c>
      <c r="B88" s="1081">
        <v>55229</v>
      </c>
      <c r="C88" s="2570" t="s">
        <v>855</v>
      </c>
      <c r="D88" s="2571"/>
      <c r="E88" s="2572"/>
      <c r="F88" s="1082">
        <v>170</v>
      </c>
      <c r="G88" s="1049"/>
    </row>
    <row r="89" spans="1:7" s="1052" customFormat="1" ht="12.75" customHeight="1">
      <c r="A89" s="1080"/>
      <c r="B89" s="1081"/>
      <c r="C89" s="2570" t="s">
        <v>856</v>
      </c>
      <c r="D89" s="2571"/>
      <c r="E89" s="2572"/>
      <c r="F89" s="1082">
        <v>20</v>
      </c>
      <c r="G89" s="1049"/>
    </row>
    <row r="90" spans="1:7" s="1052" customFormat="1" ht="12.75" customHeight="1">
      <c r="A90" s="1080">
        <v>5531</v>
      </c>
      <c r="B90" s="1081">
        <v>5532</v>
      </c>
      <c r="C90" s="2570" t="s">
        <v>857</v>
      </c>
      <c r="D90" s="2571"/>
      <c r="E90" s="2572"/>
      <c r="F90" s="1082">
        <v>51</v>
      </c>
      <c r="G90" s="1049"/>
    </row>
    <row r="91" spans="1:7" s="1052" customFormat="1" ht="12.75" customHeight="1">
      <c r="A91" s="2588"/>
      <c r="B91" s="2589"/>
      <c r="C91" s="2587" t="s">
        <v>858</v>
      </c>
      <c r="D91" s="2585"/>
      <c r="E91" s="2585"/>
      <c r="F91" s="1084">
        <f>SUM(F81:F90)</f>
        <v>2634</v>
      </c>
      <c r="G91" s="1049"/>
    </row>
    <row r="92" spans="1:7" s="1052" customFormat="1" ht="12.75" customHeight="1">
      <c r="A92" s="1086">
        <v>56111</v>
      </c>
      <c r="B92" s="1081">
        <v>56121</v>
      </c>
      <c r="C92" s="2590" t="s">
        <v>859</v>
      </c>
      <c r="D92" s="2585"/>
      <c r="E92" s="1087">
        <v>0.05</v>
      </c>
      <c r="F92" s="1088"/>
      <c r="G92" s="1049"/>
    </row>
    <row r="93" spans="1:7" s="1052" customFormat="1" ht="12.75" customHeight="1">
      <c r="A93" s="1086">
        <v>56112</v>
      </c>
      <c r="B93" s="1081">
        <v>56122</v>
      </c>
      <c r="C93" s="2585"/>
      <c r="D93" s="2585"/>
      <c r="E93" s="1087">
        <v>0.27</v>
      </c>
      <c r="F93" s="1088">
        <f>SUM(F74,F76:F79,F81:F90)*0.27</f>
        <v>905.58</v>
      </c>
      <c r="G93" s="1049"/>
    </row>
    <row r="94" spans="1:7" s="1052" customFormat="1" ht="12.75" customHeight="1">
      <c r="A94" s="1080">
        <v>56114</v>
      </c>
      <c r="B94" s="1081">
        <v>56124</v>
      </c>
      <c r="C94" s="2584" t="s">
        <v>860</v>
      </c>
      <c r="D94" s="2585"/>
      <c r="E94" s="1087">
        <v>0.05</v>
      </c>
      <c r="F94" s="1088">
        <f>F75*0.05</f>
        <v>85</v>
      </c>
      <c r="G94" s="1049"/>
    </row>
    <row r="95" spans="1:7" s="1067" customFormat="1" ht="12.75" customHeight="1">
      <c r="A95" s="1080">
        <v>56211</v>
      </c>
      <c r="B95" s="1081">
        <v>56221</v>
      </c>
      <c r="C95" s="2570" t="s">
        <v>1400</v>
      </c>
      <c r="D95" s="2571"/>
      <c r="E95" s="2572"/>
      <c r="F95" s="1088">
        <v>15</v>
      </c>
      <c r="G95" s="1049"/>
    </row>
    <row r="96" spans="1:7" s="1067" customFormat="1" ht="12.75" customHeight="1">
      <c r="A96" s="1080">
        <v>56213</v>
      </c>
      <c r="B96" s="1081">
        <v>56223</v>
      </c>
      <c r="C96" s="2570" t="s">
        <v>1401</v>
      </c>
      <c r="D96" s="2571"/>
      <c r="E96" s="2572"/>
      <c r="F96" s="1088">
        <v>0</v>
      </c>
      <c r="G96" s="1049"/>
    </row>
    <row r="97" spans="1:7" s="1085" customFormat="1" ht="12.75" customHeight="1">
      <c r="A97" s="1080">
        <v>56214</v>
      </c>
      <c r="B97" s="1081">
        <v>56224</v>
      </c>
      <c r="C97" s="2570" t="s">
        <v>861</v>
      </c>
      <c r="D97" s="2571"/>
      <c r="E97" s="2572"/>
      <c r="F97" s="1088">
        <v>0</v>
      </c>
      <c r="G97" s="1049"/>
    </row>
    <row r="98" spans="1:7" s="1128" customFormat="1" ht="12.75" customHeight="1">
      <c r="A98" s="1090">
        <v>57119</v>
      </c>
      <c r="B98" s="1091">
        <v>57129</v>
      </c>
      <c r="C98" s="2576" t="s">
        <v>862</v>
      </c>
      <c r="D98" s="2577"/>
      <c r="E98" s="2578"/>
      <c r="F98" s="1092">
        <v>0</v>
      </c>
      <c r="G98" s="1049"/>
    </row>
    <row r="99" spans="1:7" s="1097" customFormat="1" ht="16.5" customHeight="1" thickBot="1">
      <c r="A99" s="2579"/>
      <c r="B99" s="2580"/>
      <c r="C99" s="2581" t="s">
        <v>863</v>
      </c>
      <c r="D99" s="2582"/>
      <c r="E99" s="2582"/>
      <c r="F99" s="1129">
        <f>SUM(F92:F98)</f>
        <v>1005.58</v>
      </c>
      <c r="G99" s="1062"/>
    </row>
    <row r="100" spans="1:7" s="1131" customFormat="1" ht="21.75" customHeight="1" thickBot="1">
      <c r="A100" s="1130" t="s">
        <v>841</v>
      </c>
      <c r="B100" s="2583" t="s">
        <v>864</v>
      </c>
      <c r="C100" s="2583"/>
      <c r="D100" s="2583"/>
      <c r="E100" s="2583"/>
      <c r="F100" s="1065">
        <f>SUM(F99,F91,F80)</f>
        <v>6059.58</v>
      </c>
      <c r="G100" s="1049"/>
    </row>
    <row r="101" spans="1:7" s="1133" customFormat="1" ht="39.75" customHeight="1">
      <c r="A101" s="2573" t="s">
        <v>865</v>
      </c>
      <c r="B101" s="2573"/>
      <c r="C101" s="2573"/>
      <c r="D101" s="2573"/>
      <c r="E101" s="2573"/>
      <c r="F101" s="1132">
        <f>SUM(F100,F68,F65)</f>
        <v>18299.904</v>
      </c>
      <c r="G101" s="1049"/>
    </row>
    <row r="102" spans="1:7" s="1034" customFormat="1" ht="31.5" customHeight="1" thickBot="1">
      <c r="A102" s="2574"/>
      <c r="B102" s="2575"/>
      <c r="C102" s="2575"/>
      <c r="D102" s="2575"/>
      <c r="E102" s="2575"/>
      <c r="F102" s="1134"/>
      <c r="G102" s="1033"/>
    </row>
    <row r="103" spans="1:7" s="1034" customFormat="1" ht="13.5" customHeight="1">
      <c r="A103" s="2603" t="s">
        <v>163</v>
      </c>
      <c r="B103" s="2604"/>
      <c r="C103" s="2607" t="s">
        <v>818</v>
      </c>
      <c r="D103" s="2607"/>
      <c r="E103" s="2608"/>
      <c r="F103" s="1032" t="s">
        <v>819</v>
      </c>
      <c r="G103" s="1033"/>
    </row>
    <row r="104" spans="1:7" s="1135" customFormat="1" ht="22.5" customHeight="1">
      <c r="A104" s="2605"/>
      <c r="B104" s="2606"/>
      <c r="C104" s="2609"/>
      <c r="D104" s="2609"/>
      <c r="E104" s="2610"/>
      <c r="F104" s="1035" t="s">
        <v>1532</v>
      </c>
      <c r="G104" s="1062"/>
    </row>
    <row r="105" spans="1:7" s="1034" customFormat="1" ht="27.75" customHeight="1" thickBot="1">
      <c r="A105" s="2616" t="s">
        <v>879</v>
      </c>
      <c r="B105" s="2617"/>
      <c r="C105" s="2617"/>
      <c r="D105" s="2617"/>
      <c r="E105" s="2617"/>
      <c r="F105" s="2618"/>
      <c r="G105" s="1033"/>
    </row>
    <row r="106" spans="1:7" s="1034" customFormat="1" ht="13.5" customHeight="1">
      <c r="A106" s="1038" t="s">
        <v>821</v>
      </c>
      <c r="B106" s="1039" t="s">
        <v>822</v>
      </c>
      <c r="C106" s="2591" t="s">
        <v>511</v>
      </c>
      <c r="D106" s="2592"/>
      <c r="E106" s="2592"/>
      <c r="F106" s="1040"/>
      <c r="G106" s="1033"/>
    </row>
    <row r="107" spans="1:7" s="1050" customFormat="1" ht="18" customHeight="1" thickBot="1">
      <c r="A107" s="1136">
        <v>51</v>
      </c>
      <c r="B107" s="1137"/>
      <c r="C107" s="2676" t="s">
        <v>242</v>
      </c>
      <c r="D107" s="2677"/>
      <c r="E107" s="2677"/>
      <c r="F107" s="2678"/>
      <c r="G107" s="1049"/>
    </row>
    <row r="108" spans="1:7" s="1050" customFormat="1" ht="12.75" customHeight="1">
      <c r="A108" s="2623">
        <v>511112</v>
      </c>
      <c r="B108" s="2625">
        <v>511212</v>
      </c>
      <c r="C108" s="1045" t="s">
        <v>880</v>
      </c>
      <c r="D108" s="1047">
        <f>'Bérek könyvtár'!H28</f>
        <v>135400</v>
      </c>
      <c r="E108" s="1047">
        <f>D108*11</f>
        <v>1489400</v>
      </c>
      <c r="F108" s="2679">
        <f>ROUND(SUM(E108:E109)/1000,4)</f>
        <v>1624.8</v>
      </c>
      <c r="G108" s="1049"/>
    </row>
    <row r="109" spans="1:7" s="1050" customFormat="1" ht="12.75" customHeight="1" thickBot="1">
      <c r="A109" s="2624"/>
      <c r="B109" s="2626"/>
      <c r="C109" s="2629" t="s">
        <v>824</v>
      </c>
      <c r="D109" s="2630"/>
      <c r="E109" s="1108">
        <f>'Bérek könyvtár'!F28</f>
        <v>135400</v>
      </c>
      <c r="F109" s="2680"/>
      <c r="G109" s="1049"/>
    </row>
    <row r="110" spans="1:7" s="1138" customFormat="1" ht="12.75" customHeight="1">
      <c r="A110" s="2614">
        <v>511112</v>
      </c>
      <c r="B110" s="2625">
        <v>511212</v>
      </c>
      <c r="C110" s="1045" t="s">
        <v>881</v>
      </c>
      <c r="D110" s="1047">
        <f>'Bérek könyvtár'!H29</f>
        <v>122000</v>
      </c>
      <c r="E110" s="1047">
        <f>D110*6</f>
        <v>732000</v>
      </c>
      <c r="F110" s="2666">
        <f>ROUND(SUM(E110+E111)/1000,4)</f>
        <v>854</v>
      </c>
      <c r="G110" s="1049"/>
    </row>
    <row r="111" spans="1:7" s="1052" customFormat="1" ht="12.75" customHeight="1" thickBot="1">
      <c r="A111" s="2674"/>
      <c r="B111" s="2675"/>
      <c r="C111" s="2668" t="s">
        <v>824</v>
      </c>
      <c r="D111" s="2669"/>
      <c r="E111" s="1139">
        <f>'Bérek könyvtár'!F29</f>
        <v>122000</v>
      </c>
      <c r="F111" s="2667"/>
      <c r="G111" s="1049"/>
    </row>
    <row r="112" spans="1:7" s="1052" customFormat="1" ht="12.75" customHeight="1" thickBot="1">
      <c r="A112" s="1140">
        <v>511112</v>
      </c>
      <c r="B112" s="1141"/>
      <c r="C112" s="2670" t="s">
        <v>828</v>
      </c>
      <c r="D112" s="2671"/>
      <c r="E112" s="2671"/>
      <c r="F112" s="1142">
        <f>F108+F110</f>
        <v>2478.8</v>
      </c>
      <c r="G112" s="1049"/>
    </row>
    <row r="113" spans="1:7" s="1052" customFormat="1" ht="12.75" customHeight="1" thickBot="1">
      <c r="A113" s="1143">
        <v>514132</v>
      </c>
      <c r="B113" s="1144">
        <v>514232</v>
      </c>
      <c r="C113" s="2672" t="s">
        <v>832</v>
      </c>
      <c r="D113" s="2672"/>
      <c r="E113" s="2673"/>
      <c r="F113" s="1145">
        <v>70</v>
      </c>
      <c r="G113" s="1049"/>
    </row>
    <row r="114" spans="1:7" s="1052" customFormat="1" ht="12.75" customHeight="1">
      <c r="A114" s="2658">
        <v>516115</v>
      </c>
      <c r="B114" s="2659">
        <v>516215</v>
      </c>
      <c r="C114" s="1146" t="s">
        <v>882</v>
      </c>
      <c r="D114" s="1147">
        <f>'Bérek könyvtár'!H30</f>
        <v>0</v>
      </c>
      <c r="E114" s="1048">
        <f>D114*10</f>
        <v>0</v>
      </c>
      <c r="F114" s="2660">
        <f>ROUND((E114+E115)/1000,3)</f>
        <v>60</v>
      </c>
      <c r="G114" s="1049"/>
    </row>
    <row r="115" spans="1:7" s="1052" customFormat="1" ht="12.75" customHeight="1">
      <c r="A115" s="2658"/>
      <c r="B115" s="2659"/>
      <c r="C115" s="2661" t="s">
        <v>824</v>
      </c>
      <c r="D115" s="2662"/>
      <c r="E115" s="1048">
        <f>'Bérek könyvtár'!F30</f>
        <v>60000</v>
      </c>
      <c r="F115" s="2660"/>
      <c r="G115" s="1049"/>
    </row>
    <row r="116" spans="1:7" s="1052" customFormat="1" ht="12.75" customHeight="1">
      <c r="A116" s="2658">
        <v>516115</v>
      </c>
      <c r="B116" s="2659">
        <v>516215</v>
      </c>
      <c r="C116" s="1146" t="s">
        <v>883</v>
      </c>
      <c r="D116" s="1147">
        <f>'Bérek könyvtár'!H31</f>
        <v>0</v>
      </c>
      <c r="E116" s="1048">
        <f>D116*10</f>
        <v>0</v>
      </c>
      <c r="F116" s="2660">
        <f>ROUND((E116+E117)/1000,3)</f>
        <v>43</v>
      </c>
      <c r="G116" s="1049"/>
    </row>
    <row r="117" spans="1:7" s="1052" customFormat="1" ht="12.75" customHeight="1">
      <c r="A117" s="2658"/>
      <c r="B117" s="2659"/>
      <c r="C117" s="2661" t="s">
        <v>824</v>
      </c>
      <c r="D117" s="2662"/>
      <c r="E117" s="1048">
        <f>'Bérek könyvtár'!F31</f>
        <v>43000</v>
      </c>
      <c r="F117" s="2660"/>
      <c r="G117" s="1049"/>
    </row>
    <row r="118" spans="1:7" s="1052" customFormat="1" ht="12.75" customHeight="1">
      <c r="A118" s="2658">
        <v>516115</v>
      </c>
      <c r="B118" s="2659">
        <v>516215</v>
      </c>
      <c r="C118" s="1146" t="s">
        <v>884</v>
      </c>
      <c r="D118" s="1147">
        <f>'Bérek könyvtár'!H33</f>
        <v>0</v>
      </c>
      <c r="E118" s="1048">
        <f>D118*10</f>
        <v>0</v>
      </c>
      <c r="F118" s="2660">
        <f>ROUND((E118+E119)/1000,3)</f>
        <v>50</v>
      </c>
      <c r="G118" s="1049"/>
    </row>
    <row r="119" spans="1:7" s="1052" customFormat="1" ht="12.75" customHeight="1">
      <c r="A119" s="2658"/>
      <c r="B119" s="2659"/>
      <c r="C119" s="2661" t="s">
        <v>824</v>
      </c>
      <c r="D119" s="2662"/>
      <c r="E119" s="1048">
        <f>'Bérek könyvtár'!F32</f>
        <v>50000</v>
      </c>
      <c r="F119" s="2660"/>
      <c r="G119" s="1049"/>
    </row>
    <row r="120" spans="1:7" s="1052" customFormat="1" ht="12.75" customHeight="1">
      <c r="A120" s="2658">
        <v>516115</v>
      </c>
      <c r="B120" s="2659">
        <v>516215</v>
      </c>
      <c r="C120" s="1146" t="s">
        <v>885</v>
      </c>
      <c r="D120" s="1147">
        <f>'Bérek könyvtár'!H35</f>
        <v>0</v>
      </c>
      <c r="E120" s="1048">
        <f>D120*10</f>
        <v>0</v>
      </c>
      <c r="F120" s="2660">
        <f>ROUND((E120+E121)/1000,3)</f>
        <v>45</v>
      </c>
      <c r="G120" s="1049"/>
    </row>
    <row r="121" spans="1:7" s="1052" customFormat="1" ht="12.75" customHeight="1">
      <c r="A121" s="2658"/>
      <c r="B121" s="2659"/>
      <c r="C121" s="2661" t="s">
        <v>824</v>
      </c>
      <c r="D121" s="2662"/>
      <c r="E121" s="1048">
        <f>'Bérek könyvtár'!F33</f>
        <v>45000</v>
      </c>
      <c r="F121" s="2660"/>
      <c r="G121" s="1049"/>
    </row>
    <row r="122" spans="1:7" s="1052" customFormat="1" ht="12.75" customHeight="1">
      <c r="A122" s="2658">
        <v>516115</v>
      </c>
      <c r="B122" s="2659">
        <v>516215</v>
      </c>
      <c r="C122" s="1146" t="s">
        <v>886</v>
      </c>
      <c r="D122" s="1147">
        <f>'Bérek könyvtár'!H32</f>
        <v>0</v>
      </c>
      <c r="E122" s="1048">
        <f>D122*11</f>
        <v>0</v>
      </c>
      <c r="F122" s="2660">
        <f>ROUND((E122+E123)/1000,3)</f>
        <v>42</v>
      </c>
      <c r="G122" s="1049"/>
    </row>
    <row r="123" spans="1:7" s="1052" customFormat="1" ht="12.75" customHeight="1">
      <c r="A123" s="2658"/>
      <c r="B123" s="2659"/>
      <c r="C123" s="2661" t="s">
        <v>824</v>
      </c>
      <c r="D123" s="2662"/>
      <c r="E123" s="1048">
        <f>'Bérek könyvtár'!F34</f>
        <v>42000</v>
      </c>
      <c r="F123" s="2660"/>
      <c r="G123" s="1049"/>
    </row>
    <row r="124" spans="1:7" s="1153" customFormat="1" ht="12.75" customHeight="1" thickBot="1">
      <c r="A124" s="1148">
        <v>516115</v>
      </c>
      <c r="B124" s="1149"/>
      <c r="C124" s="1150"/>
      <c r="D124" s="1144"/>
      <c r="E124" s="1151"/>
      <c r="F124" s="1152">
        <f>F114+F116+F118+F120+F122</f>
        <v>240</v>
      </c>
      <c r="G124" s="1033"/>
    </row>
    <row r="125" spans="1:8" s="1052" customFormat="1" ht="22.5" customHeight="1" thickBot="1">
      <c r="A125" s="1154">
        <v>52</v>
      </c>
      <c r="B125" s="1155"/>
      <c r="C125" s="2663" t="s">
        <v>887</v>
      </c>
      <c r="D125" s="2664"/>
      <c r="E125" s="2664"/>
      <c r="F125" s="2665"/>
      <c r="G125" s="1049"/>
      <c r="H125" s="1156"/>
    </row>
    <row r="126" spans="1:7" s="1052" customFormat="1" ht="12.75" customHeight="1">
      <c r="A126" s="2614">
        <v>52211</v>
      </c>
      <c r="B126" s="2625">
        <v>52221</v>
      </c>
      <c r="C126" s="1045" t="s">
        <v>888</v>
      </c>
      <c r="D126" s="1046">
        <f>'Bérek könyvtár'!H39</f>
        <v>25000</v>
      </c>
      <c r="E126" s="1047">
        <f>D126*11</f>
        <v>275000</v>
      </c>
      <c r="F126" s="2632">
        <f>ROUND((E126+E127)/1000,3)</f>
        <v>300</v>
      </c>
      <c r="G126" s="1049"/>
    </row>
    <row r="127" spans="1:7" s="1052" customFormat="1" ht="12.75" customHeight="1">
      <c r="A127" s="2658"/>
      <c r="B127" s="2659"/>
      <c r="C127" s="2661" t="s">
        <v>824</v>
      </c>
      <c r="D127" s="2661"/>
      <c r="E127" s="1048">
        <f>'Bérek könyvtár'!F39</f>
        <v>25000</v>
      </c>
      <c r="F127" s="2660"/>
      <c r="G127" s="1049"/>
    </row>
    <row r="128" spans="1:7" s="1052" customFormat="1" ht="12.75" customHeight="1">
      <c r="A128" s="2658">
        <v>52211</v>
      </c>
      <c r="B128" s="2659">
        <v>52221</v>
      </c>
      <c r="C128" s="1146" t="s">
        <v>889</v>
      </c>
      <c r="D128" s="1147">
        <f>'Bérek könyvtár'!H40</f>
        <v>25000</v>
      </c>
      <c r="E128" s="1048">
        <f>D128*11</f>
        <v>275000</v>
      </c>
      <c r="F128" s="2660">
        <f>ROUND((E128+E129)/1000,3)</f>
        <v>300</v>
      </c>
      <c r="G128" s="1049"/>
    </row>
    <row r="129" spans="1:7" s="1052" customFormat="1" ht="12.75" customHeight="1">
      <c r="A129" s="2658"/>
      <c r="B129" s="2659"/>
      <c r="C129" s="2661" t="s">
        <v>824</v>
      </c>
      <c r="D129" s="2662"/>
      <c r="E129" s="1048">
        <f>'Bérek könyvtár'!F40</f>
        <v>25000</v>
      </c>
      <c r="F129" s="2660"/>
      <c r="G129" s="1049"/>
    </row>
    <row r="130" spans="1:7" s="1052" customFormat="1" ht="12.75" customHeight="1">
      <c r="A130" s="2658">
        <v>52211</v>
      </c>
      <c r="B130" s="2659">
        <v>52221</v>
      </c>
      <c r="C130" s="1146" t="s">
        <v>890</v>
      </c>
      <c r="D130" s="1147">
        <f>'Bérek könyvtár'!H41</f>
        <v>20000</v>
      </c>
      <c r="E130" s="1048">
        <f>D130*11</f>
        <v>220000</v>
      </c>
      <c r="F130" s="2660">
        <f>ROUND((E130+E131)/1000,3)</f>
        <v>240</v>
      </c>
      <c r="G130" s="1049"/>
    </row>
    <row r="131" spans="1:7" s="1052" customFormat="1" ht="12.75" customHeight="1">
      <c r="A131" s="2658"/>
      <c r="B131" s="2659"/>
      <c r="C131" s="2661" t="s">
        <v>824</v>
      </c>
      <c r="D131" s="2662"/>
      <c r="E131" s="1048">
        <f>'Bérek könyvtár'!F41</f>
        <v>20000</v>
      </c>
      <c r="F131" s="2660"/>
      <c r="G131" s="1049"/>
    </row>
    <row r="132" spans="1:7" s="1052" customFormat="1" ht="12.75" customHeight="1">
      <c r="A132" s="2658">
        <v>52211</v>
      </c>
      <c r="B132" s="2659">
        <v>52221</v>
      </c>
      <c r="C132" s="1146" t="s">
        <v>891</v>
      </c>
      <c r="D132" s="1147">
        <f>'Bérek könyvtár'!H42</f>
        <v>25000</v>
      </c>
      <c r="E132" s="1048">
        <f>D132*11</f>
        <v>275000</v>
      </c>
      <c r="F132" s="2660">
        <f>ROUND((E132+E133)/1000,3)</f>
        <v>300</v>
      </c>
      <c r="G132" s="1049"/>
    </row>
    <row r="133" spans="1:7" s="1052" customFormat="1" ht="12.75" customHeight="1">
      <c r="A133" s="2658"/>
      <c r="B133" s="2659"/>
      <c r="C133" s="2661" t="s">
        <v>824</v>
      </c>
      <c r="D133" s="2662"/>
      <c r="E133" s="1048">
        <f>'Bérek könyvtár'!F42</f>
        <v>25000</v>
      </c>
      <c r="F133" s="2660"/>
      <c r="G133" s="1049"/>
    </row>
    <row r="134" spans="1:7" s="1052" customFormat="1" ht="12.75" customHeight="1">
      <c r="A134" s="2658">
        <v>52211</v>
      </c>
      <c r="B134" s="2659">
        <v>52221</v>
      </c>
      <c r="C134" s="1146" t="s">
        <v>892</v>
      </c>
      <c r="D134" s="1147">
        <f>'Bérek könyvtár'!H43</f>
        <v>25000</v>
      </c>
      <c r="E134" s="1048">
        <f>D134*11</f>
        <v>275000</v>
      </c>
      <c r="F134" s="2660">
        <f>ROUND((E134+E135)/1000,3)</f>
        <v>275</v>
      </c>
      <c r="G134" s="1049"/>
    </row>
    <row r="135" spans="1:7" s="1052" customFormat="1" ht="12.75" customHeight="1">
      <c r="A135" s="2658"/>
      <c r="B135" s="2659"/>
      <c r="C135" s="2661" t="s">
        <v>824</v>
      </c>
      <c r="D135" s="2662"/>
      <c r="E135" s="1048">
        <f>'Bérek könyvtár'!F43</f>
        <v>0</v>
      </c>
      <c r="F135" s="2660"/>
      <c r="G135" s="1049"/>
    </row>
    <row r="136" spans="1:7" s="1052" customFormat="1" ht="12.75" customHeight="1">
      <c r="A136" s="2658">
        <v>52211</v>
      </c>
      <c r="B136" s="2659">
        <v>52221</v>
      </c>
      <c r="C136" s="1146" t="s">
        <v>893</v>
      </c>
      <c r="D136" s="1147">
        <f>'Bérek könyvtár'!H44</f>
        <v>25000</v>
      </c>
      <c r="E136" s="1048">
        <f>D136*11</f>
        <v>275000</v>
      </c>
      <c r="F136" s="2660">
        <f>ROUND((E136+E137)/1000,3)</f>
        <v>275</v>
      </c>
      <c r="G136" s="1049"/>
    </row>
    <row r="137" spans="1:7" s="1052" customFormat="1" ht="12.75" customHeight="1">
      <c r="A137" s="2658"/>
      <c r="B137" s="2659"/>
      <c r="C137" s="2661" t="s">
        <v>824</v>
      </c>
      <c r="D137" s="2662"/>
      <c r="E137" s="1048">
        <f>'Bérek könyvtár'!F44</f>
        <v>0</v>
      </c>
      <c r="F137" s="2660"/>
      <c r="G137" s="1049"/>
    </row>
    <row r="138" spans="1:7" s="1052" customFormat="1" ht="12.75" customHeight="1">
      <c r="A138" s="2658">
        <v>52211</v>
      </c>
      <c r="B138" s="2659">
        <v>52221</v>
      </c>
      <c r="C138" s="1146" t="s">
        <v>894</v>
      </c>
      <c r="D138" s="1147">
        <f>'Bérek könyvtár'!H45</f>
        <v>25000</v>
      </c>
      <c r="E138" s="1048">
        <f>D138*11</f>
        <v>275000</v>
      </c>
      <c r="F138" s="2660">
        <f>ROUND((E138+E139)/1000,3)</f>
        <v>275</v>
      </c>
      <c r="G138" s="1049"/>
    </row>
    <row r="139" spans="1:7" s="1052" customFormat="1" ht="12.75" customHeight="1">
      <c r="A139" s="2658"/>
      <c r="B139" s="2659"/>
      <c r="C139" s="2661" t="s">
        <v>824</v>
      </c>
      <c r="D139" s="2662"/>
      <c r="E139" s="1048">
        <f>'Bérek könyvtár'!F45</f>
        <v>0</v>
      </c>
      <c r="F139" s="2660"/>
      <c r="G139" s="1049"/>
    </row>
    <row r="140" spans="1:7" s="1052" customFormat="1" ht="12.75" customHeight="1">
      <c r="A140" s="2658">
        <v>52211</v>
      </c>
      <c r="B140" s="2659">
        <v>52221</v>
      </c>
      <c r="C140" s="1146" t="s">
        <v>895</v>
      </c>
      <c r="D140" s="1147">
        <f>'Bérek könyvtár'!H46</f>
        <v>25000</v>
      </c>
      <c r="E140" s="1048">
        <f>D140*11</f>
        <v>275000</v>
      </c>
      <c r="F140" s="2660">
        <f>ROUND((E140+E141)/1000,3)</f>
        <v>275</v>
      </c>
      <c r="G140" s="1049"/>
    </row>
    <row r="141" spans="1:7" s="1052" customFormat="1" ht="12.75" customHeight="1">
      <c r="A141" s="2658"/>
      <c r="B141" s="2659"/>
      <c r="C141" s="2661" t="s">
        <v>824</v>
      </c>
      <c r="D141" s="2662"/>
      <c r="E141" s="1048">
        <f>'Bérek könyvtár'!F46</f>
        <v>0</v>
      </c>
      <c r="F141" s="2660"/>
      <c r="G141" s="1049"/>
    </row>
    <row r="142" spans="1:7" s="1052" customFormat="1" ht="12.75" customHeight="1">
      <c r="A142" s="2658">
        <v>52211</v>
      </c>
      <c r="B142" s="2659">
        <v>52221</v>
      </c>
      <c r="C142" s="1146" t="s">
        <v>896</v>
      </c>
      <c r="D142" s="1147">
        <f>'Bérek könyvtár'!H47</f>
        <v>25000</v>
      </c>
      <c r="E142" s="1048">
        <f>D142*11</f>
        <v>275000</v>
      </c>
      <c r="F142" s="2660">
        <f>ROUND((E142+E143)/1000,3)</f>
        <v>275</v>
      </c>
      <c r="G142" s="1049"/>
    </row>
    <row r="143" spans="1:7" s="1052" customFormat="1" ht="12.75" customHeight="1">
      <c r="A143" s="2658"/>
      <c r="B143" s="2659"/>
      <c r="C143" s="2661" t="s">
        <v>824</v>
      </c>
      <c r="D143" s="2662"/>
      <c r="E143" s="1048">
        <f>'Bérek könyvtár'!F47</f>
        <v>0</v>
      </c>
      <c r="F143" s="2660"/>
      <c r="G143" s="1049"/>
    </row>
    <row r="144" spans="1:7" s="1052" customFormat="1" ht="12.75" customHeight="1">
      <c r="A144" s="2658">
        <v>52211</v>
      </c>
      <c r="B144" s="2659">
        <v>52221</v>
      </c>
      <c r="C144" s="1146" t="s">
        <v>897</v>
      </c>
      <c r="D144" s="1147">
        <f>'Bérek könyvtár'!H48</f>
        <v>25000</v>
      </c>
      <c r="E144" s="1048">
        <f>D144*11</f>
        <v>275000</v>
      </c>
      <c r="F144" s="2660">
        <f>ROUND((E144+E145)/1000,3)</f>
        <v>275</v>
      </c>
      <c r="G144" s="1049"/>
    </row>
    <row r="145" spans="1:7" s="1052" customFormat="1" ht="12.75" customHeight="1">
      <c r="A145" s="2658"/>
      <c r="B145" s="2659"/>
      <c r="C145" s="2661" t="s">
        <v>824</v>
      </c>
      <c r="D145" s="2662"/>
      <c r="E145" s="1048">
        <f>'Bérek könyvtár'!F48</f>
        <v>0</v>
      </c>
      <c r="F145" s="2660"/>
      <c r="G145" s="1049"/>
    </row>
    <row r="146" spans="1:7" s="1052" customFormat="1" ht="12.75" customHeight="1">
      <c r="A146" s="2658">
        <v>52211</v>
      </c>
      <c r="B146" s="2659">
        <v>52221</v>
      </c>
      <c r="C146" s="1146" t="s">
        <v>898</v>
      </c>
      <c r="D146" s="1147">
        <f>'Bérek könyvtár'!H49</f>
        <v>25000</v>
      </c>
      <c r="E146" s="1048">
        <f>D146*11</f>
        <v>275000</v>
      </c>
      <c r="F146" s="2660">
        <f>ROUND((E146+E147)/1000,3)</f>
        <v>275</v>
      </c>
      <c r="G146" s="1049"/>
    </row>
    <row r="147" spans="1:7" s="1052" customFormat="1" ht="12.75" customHeight="1">
      <c r="A147" s="2658"/>
      <c r="B147" s="2659"/>
      <c r="C147" s="2661" t="s">
        <v>824</v>
      </c>
      <c r="D147" s="2662"/>
      <c r="E147" s="1048">
        <f>'Bérek könyvtár'!F49</f>
        <v>0</v>
      </c>
      <c r="F147" s="2660"/>
      <c r="G147" s="1049"/>
    </row>
    <row r="148" spans="1:7" s="1052" customFormat="1" ht="12.75" customHeight="1">
      <c r="A148" s="2658">
        <v>52211</v>
      </c>
      <c r="B148" s="2659">
        <v>52221</v>
      </c>
      <c r="C148" s="1146" t="s">
        <v>899</v>
      </c>
      <c r="D148" s="1147">
        <f>'Bérek könyvtár'!H50</f>
        <v>25000</v>
      </c>
      <c r="E148" s="1048">
        <f>D148*11</f>
        <v>275000</v>
      </c>
      <c r="F148" s="2660">
        <f>ROUND((E148+E149)/1000,3)</f>
        <v>275</v>
      </c>
      <c r="G148" s="1049"/>
    </row>
    <row r="149" spans="1:7" s="1052" customFormat="1" ht="12.75" customHeight="1">
      <c r="A149" s="2658"/>
      <c r="B149" s="2659"/>
      <c r="C149" s="2661" t="s">
        <v>824</v>
      </c>
      <c r="D149" s="2662"/>
      <c r="E149" s="1048">
        <f>'Bérek könyvtár'!F50</f>
        <v>0</v>
      </c>
      <c r="F149" s="2660"/>
      <c r="G149" s="1049"/>
    </row>
    <row r="150" spans="1:7" s="1138" customFormat="1" ht="12.75" customHeight="1" thickBot="1">
      <c r="A150" s="1148">
        <v>52211</v>
      </c>
      <c r="B150" s="1157"/>
      <c r="C150" s="1158"/>
      <c r="D150" s="1159"/>
      <c r="E150" s="1160"/>
      <c r="F150" s="1152">
        <f>F126+F128+F130+F132+F134+F136+F138+F140+F142+F144+F146+F148</f>
        <v>3340</v>
      </c>
      <c r="G150" s="1049"/>
    </row>
    <row r="151" spans="1:7" s="1067" customFormat="1" ht="24.75" customHeight="1" thickBot="1">
      <c r="A151" s="1126" t="s">
        <v>164</v>
      </c>
      <c r="B151" s="2600" t="s">
        <v>836</v>
      </c>
      <c r="C151" s="2601"/>
      <c r="D151" s="2601"/>
      <c r="E151" s="2602"/>
      <c r="F151" s="1127">
        <f>F112+F113+F124+F150</f>
        <v>6128.8</v>
      </c>
      <c r="G151" s="1049"/>
    </row>
    <row r="152" spans="1:7" s="1074" customFormat="1" ht="25.5" customHeight="1" thickBot="1">
      <c r="A152" s="2599" t="s">
        <v>837</v>
      </c>
      <c r="B152" s="2599"/>
      <c r="C152" s="2599"/>
      <c r="D152" s="2599"/>
      <c r="E152" s="2599"/>
      <c r="F152" s="2599"/>
      <c r="G152" s="1049"/>
    </row>
    <row r="153" spans="1:7" s="1085" customFormat="1" ht="15" customHeight="1">
      <c r="A153" s="1068">
        <v>53112</v>
      </c>
      <c r="B153" s="1069">
        <v>53122</v>
      </c>
      <c r="C153" s="1070" t="s">
        <v>838</v>
      </c>
      <c r="D153" s="1071">
        <f>F151-F113</f>
        <v>6058.8</v>
      </c>
      <c r="E153" s="1161" t="s">
        <v>839</v>
      </c>
      <c r="F153" s="1073">
        <f>D153*0.27</f>
        <v>1635.8760000000002</v>
      </c>
      <c r="G153" s="1049"/>
    </row>
    <row r="154" spans="1:7" s="1034" customFormat="1" ht="22.5" customHeight="1" thickBot="1">
      <c r="A154" s="1126">
        <v>53</v>
      </c>
      <c r="B154" s="2600" t="s">
        <v>840</v>
      </c>
      <c r="C154" s="2601"/>
      <c r="D154" s="2601"/>
      <c r="E154" s="2602"/>
      <c r="F154" s="1065">
        <f>SUM(F153:F153)</f>
        <v>1635.8760000000002</v>
      </c>
      <c r="G154" s="1033"/>
    </row>
    <row r="155" spans="1:7" s="1037" customFormat="1" ht="9.75" customHeight="1" thickBot="1">
      <c r="A155" s="2656"/>
      <c r="B155" s="2657"/>
      <c r="C155" s="2657"/>
      <c r="D155" s="2657"/>
      <c r="E155" s="2657"/>
      <c r="F155" s="2657"/>
      <c r="G155" s="1062"/>
    </row>
    <row r="156" spans="1:7" s="1034" customFormat="1" ht="21.75" customHeight="1">
      <c r="A156" s="2603" t="s">
        <v>163</v>
      </c>
      <c r="B156" s="2604"/>
      <c r="C156" s="2607" t="s">
        <v>818</v>
      </c>
      <c r="D156" s="2607"/>
      <c r="E156" s="2608"/>
      <c r="F156" s="1032" t="s">
        <v>819</v>
      </c>
      <c r="G156" s="1033"/>
    </row>
    <row r="157" spans="1:7" s="1034" customFormat="1" ht="14.25" customHeight="1">
      <c r="A157" s="2605"/>
      <c r="B157" s="2606"/>
      <c r="C157" s="2609"/>
      <c r="D157" s="2609"/>
      <c r="E157" s="2610"/>
      <c r="F157" s="1035" t="s">
        <v>1889</v>
      </c>
      <c r="G157" s="1033"/>
    </row>
    <row r="158" spans="1:7" s="1034" customFormat="1" ht="26.25" customHeight="1" thickBot="1">
      <c r="A158" s="2616" t="s">
        <v>900</v>
      </c>
      <c r="B158" s="2617"/>
      <c r="C158" s="2617"/>
      <c r="D158" s="2617"/>
      <c r="E158" s="2617"/>
      <c r="F158" s="2618"/>
      <c r="G158" s="1033"/>
    </row>
    <row r="159" spans="1:7" s="1052" customFormat="1" ht="25.5" customHeight="1">
      <c r="A159" s="1038" t="s">
        <v>821</v>
      </c>
      <c r="B159" s="1039" t="s">
        <v>822</v>
      </c>
      <c r="C159" s="2591" t="s">
        <v>511</v>
      </c>
      <c r="D159" s="2592"/>
      <c r="E159" s="2592"/>
      <c r="F159" s="1040"/>
      <c r="G159" s="1049"/>
    </row>
    <row r="160" spans="1:7" s="1052" customFormat="1" ht="12.75" customHeight="1" thickBot="1">
      <c r="A160" s="1041" t="s">
        <v>901</v>
      </c>
      <c r="B160" s="1042"/>
      <c r="C160" s="2593" t="s">
        <v>842</v>
      </c>
      <c r="D160" s="2594"/>
      <c r="E160" s="2655"/>
      <c r="F160" s="1044"/>
      <c r="G160" s="1049"/>
    </row>
    <row r="161" spans="1:7" s="1052" customFormat="1" ht="12.75" customHeight="1">
      <c r="A161" s="1068">
        <v>5431</v>
      </c>
      <c r="B161" s="1069">
        <v>5432</v>
      </c>
      <c r="C161" s="2596" t="s">
        <v>1472</v>
      </c>
      <c r="D161" s="2597"/>
      <c r="E161" s="2598"/>
      <c r="F161" s="1079">
        <v>150</v>
      </c>
      <c r="G161" s="1049"/>
    </row>
    <row r="162" spans="1:7" s="1052" customFormat="1" ht="12.75" customHeight="1">
      <c r="A162" s="1080">
        <v>54411</v>
      </c>
      <c r="B162" s="1081">
        <v>54421</v>
      </c>
      <c r="C162" s="2570" t="s">
        <v>843</v>
      </c>
      <c r="D162" s="2571"/>
      <c r="E162" s="2572"/>
      <c r="F162" s="1082">
        <v>1300</v>
      </c>
      <c r="G162" s="1049"/>
    </row>
    <row r="163" spans="1:7" s="1052" customFormat="1" ht="12.75" customHeight="1">
      <c r="A163" s="1080">
        <v>54412</v>
      </c>
      <c r="B163" s="1081">
        <v>54422</v>
      </c>
      <c r="C163" s="2570" t="s">
        <v>844</v>
      </c>
      <c r="D163" s="2571"/>
      <c r="E163" s="2572"/>
      <c r="F163" s="1082">
        <v>600</v>
      </c>
      <c r="G163" s="1049"/>
    </row>
    <row r="164" spans="1:7" s="1052" customFormat="1" ht="12.75" customHeight="1">
      <c r="A164" s="1080">
        <v>5461</v>
      </c>
      <c r="B164" s="1081"/>
      <c r="C164" s="2570" t="s">
        <v>902</v>
      </c>
      <c r="D164" s="2571"/>
      <c r="E164" s="2586"/>
      <c r="F164" s="1082">
        <v>200</v>
      </c>
      <c r="G164" s="1049"/>
    </row>
    <row r="165" spans="1:7" s="1052" customFormat="1" ht="12.75" customHeight="1">
      <c r="A165" s="1080">
        <v>54711</v>
      </c>
      <c r="B165" s="1081">
        <v>54721</v>
      </c>
      <c r="C165" s="2570" t="s">
        <v>845</v>
      </c>
      <c r="D165" s="2571"/>
      <c r="E165" s="2572"/>
      <c r="F165" s="1082">
        <v>150</v>
      </c>
      <c r="G165" s="1049"/>
    </row>
    <row r="166" spans="1:7" s="1052" customFormat="1" ht="12.75" customHeight="1">
      <c r="A166" s="1080">
        <v>54712</v>
      </c>
      <c r="B166" s="1081">
        <v>54722</v>
      </c>
      <c r="C166" s="2570" t="s">
        <v>846</v>
      </c>
      <c r="D166" s="2571"/>
      <c r="E166" s="2572"/>
      <c r="F166" s="1082">
        <v>150</v>
      </c>
      <c r="G166" s="1049"/>
    </row>
    <row r="167" spans="1:7" s="1052" customFormat="1" ht="12.75" customHeight="1">
      <c r="A167" s="1080">
        <v>5491</v>
      </c>
      <c r="B167" s="1081">
        <v>5492</v>
      </c>
      <c r="C167" s="2570" t="s">
        <v>847</v>
      </c>
      <c r="D167" s="2571"/>
      <c r="E167" s="2572"/>
      <c r="F167" s="1082">
        <v>150</v>
      </c>
      <c r="G167" s="1049"/>
    </row>
    <row r="168" spans="1:7" s="1052" customFormat="1" ht="12.75" customHeight="1">
      <c r="A168" s="2588"/>
      <c r="B168" s="2589"/>
      <c r="C168" s="2587" t="s">
        <v>848</v>
      </c>
      <c r="D168" s="2585"/>
      <c r="E168" s="2585"/>
      <c r="F168" s="1084">
        <f>SUM(F161:F167)</f>
        <v>2700</v>
      </c>
      <c r="G168" s="1049"/>
    </row>
    <row r="169" spans="1:7" s="1052" customFormat="1" ht="12.75" customHeight="1">
      <c r="A169" s="1080">
        <v>55112</v>
      </c>
      <c r="B169" s="1081">
        <v>55122</v>
      </c>
      <c r="C169" s="2584" t="s">
        <v>873</v>
      </c>
      <c r="D169" s="2654"/>
      <c r="E169" s="2654"/>
      <c r="F169" s="1082">
        <v>300</v>
      </c>
      <c r="G169" s="1049"/>
    </row>
    <row r="170" spans="1:7" s="1052" customFormat="1" ht="12.75" customHeight="1">
      <c r="A170" s="1080">
        <v>552121</v>
      </c>
      <c r="B170" s="1081">
        <v>552221</v>
      </c>
      <c r="C170" s="2570" t="s">
        <v>645</v>
      </c>
      <c r="D170" s="2571"/>
      <c r="E170" s="2572"/>
      <c r="F170" s="1082">
        <v>100</v>
      </c>
      <c r="G170" s="1049"/>
    </row>
    <row r="171" spans="1:7" s="1052" customFormat="1" ht="12.75" customHeight="1">
      <c r="A171" s="1080">
        <v>55218</v>
      </c>
      <c r="B171" s="1081">
        <v>55228</v>
      </c>
      <c r="C171" s="2570" t="s">
        <v>854</v>
      </c>
      <c r="D171" s="2571"/>
      <c r="E171" s="2572"/>
      <c r="F171" s="1082">
        <v>150</v>
      </c>
      <c r="G171" s="1049"/>
    </row>
    <row r="172" spans="1:7" s="1067" customFormat="1" ht="12.75" customHeight="1">
      <c r="A172" s="2588"/>
      <c r="B172" s="2589"/>
      <c r="C172" s="2587" t="s">
        <v>858</v>
      </c>
      <c r="D172" s="2585"/>
      <c r="E172" s="2585"/>
      <c r="F172" s="1084">
        <f>SUM(F169:F171)</f>
        <v>550</v>
      </c>
      <c r="G172" s="1049"/>
    </row>
    <row r="173" spans="1:7" s="1097" customFormat="1" ht="12.75" customHeight="1">
      <c r="A173" s="1086">
        <v>56112</v>
      </c>
      <c r="B173" s="1081">
        <v>56122</v>
      </c>
      <c r="C173" s="2651" t="s">
        <v>859</v>
      </c>
      <c r="D173" s="2572"/>
      <c r="E173" s="1087">
        <v>0.25</v>
      </c>
      <c r="F173" s="1088">
        <f>SUM(F161,F163:F167,F170:F171)*0.25</f>
        <v>412.5</v>
      </c>
      <c r="G173" s="1062"/>
    </row>
    <row r="174" spans="1:7" s="1162" customFormat="1" ht="12.75" customHeight="1">
      <c r="A174" s="1080">
        <v>56114</v>
      </c>
      <c r="B174" s="1081">
        <v>56124</v>
      </c>
      <c r="C174" s="2584" t="s">
        <v>860</v>
      </c>
      <c r="D174" s="2585"/>
      <c r="E174" s="1087">
        <v>0.05</v>
      </c>
      <c r="F174" s="1088">
        <f>F162*0.05</f>
        <v>65</v>
      </c>
      <c r="G174" s="1062"/>
    </row>
    <row r="175" spans="1:7" s="1133" customFormat="1" ht="16.5" customHeight="1">
      <c r="A175" s="1163">
        <v>56211</v>
      </c>
      <c r="B175" s="1058">
        <v>56221</v>
      </c>
      <c r="C175" s="2651" t="s">
        <v>1400</v>
      </c>
      <c r="D175" s="2652"/>
      <c r="E175" s="2653"/>
      <c r="F175" s="1088">
        <v>8</v>
      </c>
      <c r="G175" s="1049"/>
    </row>
    <row r="176" spans="1:7" ht="25.5" customHeight="1" thickBot="1">
      <c r="A176" s="2579"/>
      <c r="B176" s="2580"/>
      <c r="C176" s="2581" t="s">
        <v>863</v>
      </c>
      <c r="D176" s="2582"/>
      <c r="E176" s="2582"/>
      <c r="F176" s="1129">
        <f>SUM(F173:F175)</f>
        <v>485.5</v>
      </c>
      <c r="G176" s="1033"/>
    </row>
    <row r="177" spans="1:7" s="1034" customFormat="1" ht="38.25" customHeight="1" thickBot="1">
      <c r="A177" s="1130" t="s">
        <v>901</v>
      </c>
      <c r="B177" s="2583" t="s">
        <v>903</v>
      </c>
      <c r="C177" s="2583"/>
      <c r="D177" s="2583"/>
      <c r="E177" s="2583"/>
      <c r="F177" s="1065">
        <f>SUM(F176,F172,F168)</f>
        <v>3735.5</v>
      </c>
      <c r="G177" s="1033"/>
    </row>
    <row r="178" spans="1:7" s="1037" customFormat="1" ht="34.5" customHeight="1">
      <c r="A178" s="2573" t="s">
        <v>904</v>
      </c>
      <c r="B178" s="2573"/>
      <c r="C178" s="2573"/>
      <c r="D178" s="2573"/>
      <c r="E178" s="2573"/>
      <c r="F178" s="1098">
        <f>SUM(F151,F154,F177)</f>
        <v>11500.176</v>
      </c>
      <c r="G178" s="1062"/>
    </row>
    <row r="179" spans="1:7" s="1034" customFormat="1" ht="9.75" customHeight="1" thickBot="1">
      <c r="A179" s="1164"/>
      <c r="B179" s="1165"/>
      <c r="C179" s="2649"/>
      <c r="D179" s="2650"/>
      <c r="E179" s="2650"/>
      <c r="F179" s="2650"/>
      <c r="G179" s="1033"/>
    </row>
    <row r="180" spans="1:7" s="1034" customFormat="1" ht="15" customHeight="1">
      <c r="A180" s="2603" t="s">
        <v>163</v>
      </c>
      <c r="B180" s="2604"/>
      <c r="C180" s="2607" t="s">
        <v>818</v>
      </c>
      <c r="D180" s="2607"/>
      <c r="E180" s="2608"/>
      <c r="F180" s="1032" t="s">
        <v>819</v>
      </c>
      <c r="G180" s="1033"/>
    </row>
    <row r="181" spans="1:7" s="1034" customFormat="1" ht="15" customHeight="1">
      <c r="A181" s="2605"/>
      <c r="B181" s="2606"/>
      <c r="C181" s="2609"/>
      <c r="D181" s="2609"/>
      <c r="E181" s="2610"/>
      <c r="F181" s="1035" t="s">
        <v>1889</v>
      </c>
      <c r="G181" s="1033"/>
    </row>
    <row r="182" spans="1:7" s="1034" customFormat="1" ht="27" customHeight="1" thickBot="1">
      <c r="A182" s="2643" t="s">
        <v>905</v>
      </c>
      <c r="B182" s="2644"/>
      <c r="C182" s="2644"/>
      <c r="D182" s="2644"/>
      <c r="E182" s="2644"/>
      <c r="F182" s="2645"/>
      <c r="G182" s="1033"/>
    </row>
    <row r="183" spans="1:7" s="1034" customFormat="1" ht="15" customHeight="1" thickBot="1">
      <c r="A183" s="1166" t="s">
        <v>821</v>
      </c>
      <c r="B183" s="1167" t="s">
        <v>822</v>
      </c>
      <c r="C183" s="2646"/>
      <c r="D183" s="2647"/>
      <c r="E183" s="2647"/>
      <c r="F183" s="1168"/>
      <c r="G183" s="1033"/>
    </row>
    <row r="184" spans="1:7" s="1034" customFormat="1" ht="15" customHeight="1">
      <c r="A184" s="1031">
        <v>1</v>
      </c>
      <c r="B184" s="1039"/>
      <c r="C184" s="2591" t="s">
        <v>906</v>
      </c>
      <c r="D184" s="2648"/>
      <c r="E184" s="2648"/>
      <c r="F184" s="1040"/>
      <c r="G184" s="1033"/>
    </row>
    <row r="185" spans="1:7" s="1034" customFormat="1" ht="15" customHeight="1">
      <c r="A185" s="1169">
        <v>13151</v>
      </c>
      <c r="B185" s="1170"/>
      <c r="C185" s="2639" t="s">
        <v>907</v>
      </c>
      <c r="D185" s="2639"/>
      <c r="E185" s="2639"/>
      <c r="F185" s="1171">
        <v>720</v>
      </c>
      <c r="G185" s="1033"/>
    </row>
    <row r="186" spans="1:7" s="1034" customFormat="1" ht="15" customHeight="1">
      <c r="A186" s="1172">
        <v>18211</v>
      </c>
      <c r="B186" s="1170"/>
      <c r="C186" s="2639" t="s">
        <v>908</v>
      </c>
      <c r="D186" s="2639"/>
      <c r="E186" s="2639"/>
      <c r="F186" s="1171">
        <f>F185*0.27</f>
        <v>194.4</v>
      </c>
      <c r="G186" s="1033"/>
    </row>
    <row r="187" spans="1:7" s="1034" customFormat="1" ht="30.75" customHeight="1" thickBot="1">
      <c r="A187" s="2640" t="s">
        <v>909</v>
      </c>
      <c r="B187" s="2641"/>
      <c r="C187" s="2641"/>
      <c r="D187" s="2641"/>
      <c r="E187" s="2642"/>
      <c r="F187" s="1173">
        <f>F185+F186</f>
        <v>914.4</v>
      </c>
      <c r="G187" s="1033"/>
    </row>
    <row r="188" spans="1:7" s="1178" customFormat="1" ht="47.25" customHeight="1" thickBot="1">
      <c r="A188" s="1174"/>
      <c r="B188" s="1175"/>
      <c r="C188" s="1176"/>
      <c r="D188" s="1176"/>
      <c r="E188" s="1176"/>
      <c r="F188" s="1177"/>
      <c r="G188" s="1049"/>
    </row>
    <row r="189" spans="1:7" s="1052" customFormat="1" ht="25.5" customHeight="1" thickBot="1">
      <c r="A189" s="1179" t="s">
        <v>910</v>
      </c>
      <c r="B189" s="1180"/>
      <c r="C189" s="2830" t="s">
        <v>911</v>
      </c>
      <c r="D189" s="2831"/>
      <c r="E189" s="2831"/>
      <c r="F189" s="1181"/>
      <c r="G189" s="1049"/>
    </row>
    <row r="190" spans="1:7" s="1178" customFormat="1" ht="15" customHeight="1">
      <c r="A190" s="1169"/>
      <c r="B190" s="1182"/>
      <c r="C190" s="2826" t="s">
        <v>912</v>
      </c>
      <c r="D190" s="2826"/>
      <c r="E190" s="2826"/>
      <c r="F190" s="1171">
        <v>150</v>
      </c>
      <c r="G190" s="1049"/>
    </row>
    <row r="191" spans="1:7" s="1052" customFormat="1" ht="15" customHeight="1" thickBot="1">
      <c r="A191" s="1183">
        <v>4641</v>
      </c>
      <c r="B191" s="1184"/>
      <c r="C191" s="2809" t="s">
        <v>913</v>
      </c>
      <c r="D191" s="2809"/>
      <c r="E191" s="2809"/>
      <c r="F191" s="1185">
        <f>SUM(F190:F190)</f>
        <v>150</v>
      </c>
      <c r="G191" s="1049"/>
    </row>
    <row r="192" spans="1:7" s="1052" customFormat="1" ht="15" customHeight="1">
      <c r="A192" s="1186">
        <v>46414</v>
      </c>
      <c r="B192" s="1187"/>
      <c r="C192" s="2829" t="s">
        <v>503</v>
      </c>
      <c r="D192" s="2829"/>
      <c r="E192" s="2829"/>
      <c r="F192" s="1171">
        <v>0</v>
      </c>
      <c r="G192" s="1049"/>
    </row>
    <row r="193" spans="1:7" s="1052" customFormat="1" ht="15" customHeight="1">
      <c r="A193" s="1169"/>
      <c r="B193" s="1182"/>
      <c r="C193" s="2639" t="s">
        <v>504</v>
      </c>
      <c r="D193" s="2639"/>
      <c r="E193" s="2639"/>
      <c r="F193" s="1171">
        <v>12000</v>
      </c>
      <c r="G193" s="1049"/>
    </row>
    <row r="194" spans="1:7" s="1052" customFormat="1" ht="15" customHeight="1">
      <c r="A194" s="1169"/>
      <c r="B194" s="1182"/>
      <c r="C194" s="2639" t="s">
        <v>505</v>
      </c>
      <c r="D194" s="2639"/>
      <c r="E194" s="2639"/>
      <c r="F194" s="1171">
        <v>414</v>
      </c>
      <c r="G194" s="1049"/>
    </row>
    <row r="195" spans="1:7" s="1188" customFormat="1" ht="15" customHeight="1" thickBot="1">
      <c r="A195" s="1183"/>
      <c r="B195" s="1184"/>
      <c r="C195" s="2809" t="s">
        <v>506</v>
      </c>
      <c r="D195" s="2809"/>
      <c r="E195" s="2809"/>
      <c r="F195" s="1185">
        <f>SUM(F192:F194)</f>
        <v>12414</v>
      </c>
      <c r="G195" s="1049"/>
    </row>
    <row r="196" spans="1:7" s="1192" customFormat="1" ht="15" customHeight="1" thickBot="1">
      <c r="A196" s="1189"/>
      <c r="B196" s="1190"/>
      <c r="C196" s="2810" t="s">
        <v>747</v>
      </c>
      <c r="D196" s="2811"/>
      <c r="E196" s="2812"/>
      <c r="F196" s="1191">
        <v>303</v>
      </c>
      <c r="G196" s="1049"/>
    </row>
    <row r="197" spans="1:7" s="1188" customFormat="1" ht="15" customHeight="1">
      <c r="A197" s="1193"/>
      <c r="B197" s="1194"/>
      <c r="C197" s="2813" t="s">
        <v>748</v>
      </c>
      <c r="D197" s="2813"/>
      <c r="E197" s="2813"/>
      <c r="F197" s="1171">
        <v>200</v>
      </c>
      <c r="G197" s="1049"/>
    </row>
    <row r="198" spans="1:7" s="1188" customFormat="1" ht="15" customHeight="1">
      <c r="A198" s="1195"/>
      <c r="B198" s="1196"/>
      <c r="C198" s="2828" t="s">
        <v>749</v>
      </c>
      <c r="D198" s="2828"/>
      <c r="E198" s="2828"/>
      <c r="F198" s="1171">
        <v>500</v>
      </c>
      <c r="G198" s="1049"/>
    </row>
    <row r="199" spans="1:7" s="1188" customFormat="1" ht="15" customHeight="1">
      <c r="A199" s="1195"/>
      <c r="B199" s="1196"/>
      <c r="C199" s="2590" t="s">
        <v>750</v>
      </c>
      <c r="D199" s="2828"/>
      <c r="E199" s="2828"/>
      <c r="F199" s="1171">
        <v>100</v>
      </c>
      <c r="G199" s="1049"/>
    </row>
    <row r="200" spans="1:7" s="1188" customFormat="1" ht="15" customHeight="1" thickBot="1">
      <c r="A200" s="1183">
        <v>91212</v>
      </c>
      <c r="B200" s="1184"/>
      <c r="C200" s="2809" t="s">
        <v>751</v>
      </c>
      <c r="D200" s="2809"/>
      <c r="E200" s="2809"/>
      <c r="F200" s="1185">
        <f>SUM(F197:F199)</f>
        <v>800</v>
      </c>
      <c r="G200" s="1049"/>
    </row>
    <row r="201" spans="1:6" ht="15" customHeight="1" thickBot="1">
      <c r="A201" s="1197">
        <v>91913</v>
      </c>
      <c r="B201" s="1180"/>
      <c r="C201" s="2827" t="s">
        <v>752</v>
      </c>
      <c r="D201" s="2827"/>
      <c r="E201" s="2827"/>
      <c r="F201" s="1181">
        <v>250</v>
      </c>
    </row>
    <row r="202" spans="1:6" ht="30" customHeight="1" thickBot="1">
      <c r="A202" s="2640" t="s">
        <v>753</v>
      </c>
      <c r="B202" s="2641"/>
      <c r="C202" s="2641"/>
      <c r="D202" s="2641"/>
      <c r="E202" s="2642"/>
      <c r="F202" s="1173">
        <f>SUM(F191+F195+F196+F200+F201)</f>
        <v>13917</v>
      </c>
    </row>
    <row r="203" spans="1:6" ht="87" customHeight="1" thickBot="1">
      <c r="A203" s="1198"/>
      <c r="B203" s="1199"/>
      <c r="E203" s="1089"/>
      <c r="F203" s="1089"/>
    </row>
    <row r="204" spans="1:6" ht="16.5" customHeight="1" thickBot="1">
      <c r="A204" s="2841" t="s">
        <v>754</v>
      </c>
      <c r="B204" s="2646"/>
      <c r="C204" s="2834" t="s">
        <v>755</v>
      </c>
      <c r="D204" s="2834"/>
      <c r="E204" s="2834"/>
      <c r="F204" s="1201">
        <f>F187</f>
        <v>914.4</v>
      </c>
    </row>
    <row r="205" spans="1:7" s="1099" customFormat="1" ht="16.5" customHeight="1">
      <c r="A205" s="2818" t="s">
        <v>756</v>
      </c>
      <c r="B205" s="2591"/>
      <c r="C205" s="2825" t="s">
        <v>757</v>
      </c>
      <c r="D205" s="2825"/>
      <c r="E205" s="2825"/>
      <c r="F205" s="1202">
        <f>F42</f>
        <v>2762.44</v>
      </c>
      <c r="G205" s="1049"/>
    </row>
    <row r="206" spans="1:6" ht="16.5" customHeight="1">
      <c r="A206" s="2819"/>
      <c r="B206" s="2820"/>
      <c r="C206" s="2590" t="s">
        <v>758</v>
      </c>
      <c r="D206" s="2590"/>
      <c r="E206" s="2590"/>
      <c r="F206" s="1203">
        <f>F101</f>
        <v>18299.904</v>
      </c>
    </row>
    <row r="207" spans="1:6" ht="16.5" customHeight="1">
      <c r="A207" s="2819"/>
      <c r="B207" s="2820"/>
      <c r="C207" s="2590" t="s">
        <v>755</v>
      </c>
      <c r="D207" s="2590"/>
      <c r="E207" s="2590"/>
      <c r="F207" s="1203">
        <f>F178</f>
        <v>11500.176</v>
      </c>
    </row>
    <row r="208" spans="1:6" ht="16.5" customHeight="1" thickBot="1">
      <c r="A208" s="2821"/>
      <c r="B208" s="2822"/>
      <c r="C208" s="2842" t="s">
        <v>759</v>
      </c>
      <c r="D208" s="2842"/>
      <c r="E208" s="2842"/>
      <c r="F208" s="1204">
        <f>SUM(F205:F207)</f>
        <v>32562.519999999997</v>
      </c>
    </row>
    <row r="209" spans="1:6" ht="32.25" customHeight="1" thickBot="1">
      <c r="A209" s="2823" t="s">
        <v>760</v>
      </c>
      <c r="B209" s="2824"/>
      <c r="C209" s="2824"/>
      <c r="D209" s="2824"/>
      <c r="E209" s="2824"/>
      <c r="F209" s="1205">
        <f>SUM(F204:F207)</f>
        <v>33476.92</v>
      </c>
    </row>
    <row r="210" spans="1:7" s="1211" customFormat="1" ht="51.75" customHeight="1">
      <c r="A210" s="1206"/>
      <c r="B210" s="1207"/>
      <c r="C210" s="1097"/>
      <c r="D210" s="1200"/>
      <c r="E210" s="1208"/>
      <c r="F210" s="1209"/>
      <c r="G210" s="1210"/>
    </row>
    <row r="211" spans="1:6" ht="12.75">
      <c r="A211" s="2833" t="s">
        <v>761</v>
      </c>
      <c r="B211" s="2833"/>
      <c r="C211" s="2833"/>
      <c r="E211" s="2843" t="s">
        <v>201</v>
      </c>
      <c r="F211" s="2844"/>
    </row>
    <row r="212" spans="3:6" ht="14.25" customHeight="1">
      <c r="C212" s="1213"/>
      <c r="D212" s="1214"/>
      <c r="E212" s="2853" t="s">
        <v>762</v>
      </c>
      <c r="F212" s="2854"/>
    </row>
    <row r="213" spans="1:6" ht="25.5" customHeight="1" thickBot="1">
      <c r="A213" s="2839" t="s">
        <v>763</v>
      </c>
      <c r="B213" s="2840"/>
      <c r="C213" s="2840"/>
      <c r="D213" s="2840"/>
      <c r="E213" s="2840"/>
      <c r="F213" s="2840"/>
    </row>
    <row r="214" spans="1:6" ht="29.25" customHeight="1" thickBot="1">
      <c r="A214" s="2816" t="s">
        <v>764</v>
      </c>
      <c r="B214" s="2817"/>
      <c r="C214" s="1216" t="s">
        <v>765</v>
      </c>
      <c r="D214" s="1217" t="s">
        <v>766</v>
      </c>
      <c r="E214" s="1218" t="s">
        <v>767</v>
      </c>
      <c r="F214" s="1219"/>
    </row>
    <row r="215" spans="1:6" ht="16.5" customHeight="1">
      <c r="A215" s="2832" t="s">
        <v>768</v>
      </c>
      <c r="B215" s="2813"/>
      <c r="C215" s="1220">
        <v>11254</v>
      </c>
      <c r="D215" s="1220">
        <f aca="true" t="shared" si="0" ref="D215:D221">E215-C215</f>
        <v>-1589.800000000001</v>
      </c>
      <c r="E215" s="1221">
        <f>F65</f>
        <v>9664.199999999999</v>
      </c>
      <c r="F215" s="1089"/>
    </row>
    <row r="216" spans="1:6" ht="16.5" customHeight="1">
      <c r="A216" s="2851" t="s">
        <v>769</v>
      </c>
      <c r="B216" s="2828"/>
      <c r="C216" s="1222">
        <v>3036</v>
      </c>
      <c r="D216" s="1222">
        <f t="shared" si="0"/>
        <v>-459.8760000000002</v>
      </c>
      <c r="E216" s="1223">
        <f>F68</f>
        <v>2576.124</v>
      </c>
      <c r="F216" s="1089"/>
    </row>
    <row r="217" spans="1:6" ht="16.5" customHeight="1">
      <c r="A217" s="2851" t="s">
        <v>770</v>
      </c>
      <c r="B217" s="2828"/>
      <c r="C217" s="1222">
        <v>7196</v>
      </c>
      <c r="D217" s="1222">
        <f t="shared" si="0"/>
        <v>-1136.42</v>
      </c>
      <c r="E217" s="1223">
        <f>F100</f>
        <v>6059.58</v>
      </c>
      <c r="F217" s="1089"/>
    </row>
    <row r="218" spans="1:6" ht="16.5" customHeight="1" thickBot="1">
      <c r="A218" s="2852" t="s">
        <v>98</v>
      </c>
      <c r="B218" s="2702"/>
      <c r="C218" s="1224">
        <f>SUM(C215:C217)</f>
        <v>21486</v>
      </c>
      <c r="D218" s="1224">
        <f t="shared" si="0"/>
        <v>-3186.0960000000014</v>
      </c>
      <c r="E218" s="1225">
        <f>SUM(E215:E217)</f>
        <v>18299.904</v>
      </c>
      <c r="F218" s="1089"/>
    </row>
    <row r="219" spans="1:6" ht="16.5" customHeight="1" thickBot="1">
      <c r="A219" s="2849" t="s">
        <v>771</v>
      </c>
      <c r="B219" s="2850"/>
      <c r="C219" s="1226">
        <v>0</v>
      </c>
      <c r="D219" s="1226">
        <f t="shared" si="0"/>
        <v>0</v>
      </c>
      <c r="E219" s="1227">
        <v>0</v>
      </c>
      <c r="F219" s="1089"/>
    </row>
    <row r="220" spans="1:7" s="1212" customFormat="1" ht="16.5" customHeight="1" thickBot="1">
      <c r="A220" s="2849" t="s">
        <v>772</v>
      </c>
      <c r="B220" s="2850"/>
      <c r="C220" s="1226">
        <v>1200</v>
      </c>
      <c r="D220" s="1226">
        <f t="shared" si="0"/>
        <v>0</v>
      </c>
      <c r="E220" s="1227">
        <f>F191+F200+F201</f>
        <v>1200</v>
      </c>
      <c r="F220" s="1089"/>
      <c r="G220" s="1049"/>
    </row>
    <row r="221" spans="1:7" ht="16.5" customHeight="1" thickBot="1">
      <c r="A221" s="2849" t="s">
        <v>1430</v>
      </c>
      <c r="B221" s="2850"/>
      <c r="C221" s="1228">
        <f>SUM(C218+C219)-C220</f>
        <v>20286</v>
      </c>
      <c r="D221" s="1228">
        <f t="shared" si="0"/>
        <v>-3186.0960000000014</v>
      </c>
      <c r="E221" s="1227">
        <f>SUM(E218+E219)-E220</f>
        <v>17099.904</v>
      </c>
      <c r="F221" s="1089"/>
      <c r="G221" s="1229"/>
    </row>
    <row r="222" spans="1:6" ht="54" customHeight="1">
      <c r="A222" s="2814" t="s">
        <v>773</v>
      </c>
      <c r="B222" s="2815"/>
      <c r="C222" s="2815"/>
      <c r="D222" s="1230">
        <f>D221/C221</f>
        <v>-0.15705885832593913</v>
      </c>
      <c r="E222" s="1231"/>
      <c r="F222" s="1089"/>
    </row>
    <row r="223" spans="1:6" ht="4.5" customHeight="1" thickBot="1">
      <c r="A223" s="1232"/>
      <c r="B223" s="1233"/>
      <c r="C223" s="1213"/>
      <c r="D223" s="1214"/>
      <c r="E223" s="1234"/>
      <c r="F223" s="1235"/>
    </row>
    <row r="224" spans="1:7" s="1240" customFormat="1" ht="48.75" thickBot="1">
      <c r="A224" s="1212"/>
      <c r="B224" s="1236" t="s">
        <v>774</v>
      </c>
      <c r="C224" s="1237" t="s">
        <v>775</v>
      </c>
      <c r="D224" s="1238" t="s">
        <v>776</v>
      </c>
      <c r="E224" s="1239" t="s">
        <v>777</v>
      </c>
      <c r="F224" s="1089"/>
      <c r="G224" s="1049"/>
    </row>
    <row r="225" spans="1:7" s="1246" customFormat="1" ht="13.5" customHeight="1">
      <c r="A225" s="1206"/>
      <c r="B225" s="1241">
        <v>2005</v>
      </c>
      <c r="C225" s="1242">
        <v>18016</v>
      </c>
      <c r="D225" s="1243"/>
      <c r="E225" s="1244"/>
      <c r="F225" s="1245"/>
      <c r="G225" s="1049"/>
    </row>
    <row r="226" spans="2:6" ht="13.5" customHeight="1">
      <c r="B226" s="1247">
        <v>2006</v>
      </c>
      <c r="C226" s="1248">
        <v>18103</v>
      </c>
      <c r="D226" s="1249">
        <f aca="true" t="shared" si="1" ref="D226:D232">C226-C225</f>
        <v>87</v>
      </c>
      <c r="E226" s="1250">
        <f aca="true" t="shared" si="2" ref="E226:E232">D226/C225</f>
        <v>0.004829040852575488</v>
      </c>
      <c r="F226" s="1245"/>
    </row>
    <row r="227" spans="2:6" ht="13.5" customHeight="1">
      <c r="B227" s="1247">
        <v>2007</v>
      </c>
      <c r="C227" s="1248">
        <v>18614</v>
      </c>
      <c r="D227" s="1249">
        <f t="shared" si="1"/>
        <v>511</v>
      </c>
      <c r="E227" s="1250">
        <f t="shared" si="2"/>
        <v>0.028227365630006076</v>
      </c>
      <c r="F227" s="1251"/>
    </row>
    <row r="228" spans="2:6" ht="13.5" customHeight="1">
      <c r="B228" s="1247">
        <v>2008</v>
      </c>
      <c r="C228" s="1248">
        <v>19836</v>
      </c>
      <c r="D228" s="1249">
        <f t="shared" si="1"/>
        <v>1222</v>
      </c>
      <c r="E228" s="1250">
        <f t="shared" si="2"/>
        <v>0.06564951112066186</v>
      </c>
      <c r="F228" s="1251"/>
    </row>
    <row r="229" spans="1:6" ht="13.5" customHeight="1">
      <c r="A229" s="1252"/>
      <c r="B229" s="1253">
        <v>2009</v>
      </c>
      <c r="C229" s="1254">
        <v>18507</v>
      </c>
      <c r="D229" s="1249">
        <f t="shared" si="1"/>
        <v>-1329</v>
      </c>
      <c r="E229" s="1250">
        <f t="shared" si="2"/>
        <v>-0.06699939503932244</v>
      </c>
      <c r="F229" s="1255"/>
    </row>
    <row r="230" spans="1:6" ht="13.5" customHeight="1">
      <c r="A230" s="1252"/>
      <c r="B230" s="1253">
        <v>2010</v>
      </c>
      <c r="C230" s="1254">
        <v>18794</v>
      </c>
      <c r="D230" s="1249">
        <f t="shared" si="1"/>
        <v>287</v>
      </c>
      <c r="E230" s="1250">
        <f t="shared" si="2"/>
        <v>0.015507645755660021</v>
      </c>
      <c r="F230" s="1255"/>
    </row>
    <row r="231" spans="1:6" ht="13.5" customHeight="1" thickBot="1">
      <c r="A231" s="1252"/>
      <c r="B231" s="1256">
        <v>2011</v>
      </c>
      <c r="C231" s="1257">
        <v>20286</v>
      </c>
      <c r="D231" s="1258">
        <f t="shared" si="1"/>
        <v>1492</v>
      </c>
      <c r="E231" s="1259">
        <f t="shared" si="2"/>
        <v>0.07938703841651591</v>
      </c>
      <c r="F231" s="1255"/>
    </row>
    <row r="232" spans="1:6" ht="13.5" customHeight="1" thickBot="1">
      <c r="A232" s="1260"/>
      <c r="B232" s="1261">
        <v>2012</v>
      </c>
      <c r="C232" s="1262">
        <f>E221</f>
        <v>17099.904</v>
      </c>
      <c r="D232" s="1263">
        <f t="shared" si="1"/>
        <v>-3186.0960000000014</v>
      </c>
      <c r="E232" s="1264">
        <f t="shared" si="2"/>
        <v>-0.15705885832593913</v>
      </c>
      <c r="F232" s="1089"/>
    </row>
    <row r="233" ht="6.75" customHeight="1" thickBot="1"/>
    <row r="234" spans="2:5" ht="39" thickBot="1">
      <c r="B234" s="2847" t="s">
        <v>778</v>
      </c>
      <c r="C234" s="2848"/>
      <c r="D234" s="1265" t="s">
        <v>779</v>
      </c>
      <c r="E234" s="1266" t="s">
        <v>1914</v>
      </c>
    </row>
    <row r="235" spans="2:5" ht="12.75" customHeight="1">
      <c r="B235" s="1267">
        <v>2005</v>
      </c>
      <c r="C235" s="1242">
        <v>18016</v>
      </c>
      <c r="D235" s="1220"/>
      <c r="E235" s="1268"/>
    </row>
    <row r="236" spans="2:5" ht="12.75" customHeight="1">
      <c r="B236" s="1269">
        <v>2006</v>
      </c>
      <c r="C236" s="1248">
        <f aca="true" t="shared" si="3" ref="C236:C242">C235+C235*E236</f>
        <v>18610.528</v>
      </c>
      <c r="D236" s="1222">
        <f>C236-C235</f>
        <v>594.5279999999984</v>
      </c>
      <c r="E236" s="1270">
        <v>0.033</v>
      </c>
    </row>
    <row r="237" spans="2:5" ht="12.75" customHeight="1">
      <c r="B237" s="1269">
        <v>2007</v>
      </c>
      <c r="C237" s="1248">
        <f t="shared" si="3"/>
        <v>19801.601791999998</v>
      </c>
      <c r="D237" s="1222">
        <f>C237-C236</f>
        <v>1191.0737919999992</v>
      </c>
      <c r="E237" s="1270">
        <v>0.064</v>
      </c>
    </row>
    <row r="238" spans="2:5" ht="12.75" customHeight="1">
      <c r="B238" s="1269">
        <v>2008</v>
      </c>
      <c r="C238" s="1248">
        <f t="shared" si="3"/>
        <v>21187.713917439996</v>
      </c>
      <c r="D238" s="1222">
        <f>C238-C237</f>
        <v>1386.1121254399986</v>
      </c>
      <c r="E238" s="1271">
        <v>0.07</v>
      </c>
    </row>
    <row r="239" spans="2:5" ht="12.75" customHeight="1">
      <c r="B239" s="1269">
        <v>2009</v>
      </c>
      <c r="C239" s="1248">
        <f t="shared" si="3"/>
        <v>22882.731030835195</v>
      </c>
      <c r="D239" s="1222">
        <f>C239-C238</f>
        <v>1695.017113395199</v>
      </c>
      <c r="E239" s="1271">
        <v>0.08</v>
      </c>
    </row>
    <row r="240" spans="2:5" ht="12.75" customHeight="1">
      <c r="B240" s="1269">
        <v>2010</v>
      </c>
      <c r="C240" s="1248">
        <f t="shared" si="3"/>
        <v>24003.98485134612</v>
      </c>
      <c r="D240" s="1222">
        <f>C240-C239</f>
        <v>1121.253820510923</v>
      </c>
      <c r="E240" s="1271">
        <v>0.049</v>
      </c>
    </row>
    <row r="241" spans="2:5" ht="12.75" customHeight="1">
      <c r="B241" s="1269">
        <v>2011</v>
      </c>
      <c r="C241" s="1248">
        <f t="shared" si="3"/>
        <v>24844.124321143234</v>
      </c>
      <c r="D241" s="1222">
        <v>840</v>
      </c>
      <c r="E241" s="1271">
        <v>0.035</v>
      </c>
    </row>
    <row r="242" spans="2:5" ht="12.75" customHeight="1" thickBot="1">
      <c r="B242" s="1272">
        <v>2012</v>
      </c>
      <c r="C242" s="1273">
        <f t="shared" si="3"/>
        <v>25813.04516966782</v>
      </c>
      <c r="D242" s="1224">
        <f>C242-C240</f>
        <v>1809.0603183217027</v>
      </c>
      <c r="E242" s="1274">
        <v>0.039</v>
      </c>
    </row>
    <row r="248" ht="9.75" customHeight="1"/>
    <row r="258" ht="18" customHeight="1"/>
    <row r="259" ht="6.75" customHeight="1"/>
    <row r="260" spans="1:6" ht="82.5" customHeight="1">
      <c r="A260" s="2845" t="s">
        <v>1906</v>
      </c>
      <c r="B260" s="2846"/>
      <c r="C260" s="2846"/>
      <c r="D260" s="2846"/>
      <c r="E260" s="2846"/>
      <c r="F260" s="2846"/>
    </row>
    <row r="261" ht="34.5" customHeight="1" thickBot="1"/>
    <row r="262" spans="3:4" ht="26.25" thickBot="1">
      <c r="C262" s="1275" t="s">
        <v>1907</v>
      </c>
      <c r="D262" s="1276" t="s">
        <v>1889</v>
      </c>
    </row>
    <row r="263" spans="3:4" ht="12.75">
      <c r="C263" s="1277" t="s">
        <v>1908</v>
      </c>
      <c r="D263" s="1278">
        <f>F191</f>
        <v>150</v>
      </c>
    </row>
    <row r="264" spans="3:4" ht="12.75">
      <c r="C264" s="1279" t="s">
        <v>19</v>
      </c>
      <c r="D264" s="1280">
        <f>SUM(F200,F201)</f>
        <v>1050</v>
      </c>
    </row>
    <row r="265" spans="3:4" ht="12.75">
      <c r="C265" s="1279" t="s">
        <v>1909</v>
      </c>
      <c r="D265" s="1280">
        <f>SUM(F193:F194)</f>
        <v>12414</v>
      </c>
    </row>
    <row r="266" spans="3:4" ht="12.75">
      <c r="C266" s="1279" t="s">
        <v>1910</v>
      </c>
      <c r="D266" s="1280">
        <v>0</v>
      </c>
    </row>
    <row r="267" spans="3:4" ht="12.75">
      <c r="C267" s="1279" t="s">
        <v>1911</v>
      </c>
      <c r="D267" s="1280">
        <f>ROUND(D271/4,0)</f>
        <v>5602</v>
      </c>
    </row>
    <row r="268" spans="3:4" ht="24.75" thickBot="1">
      <c r="C268" s="1281" t="s">
        <v>1912</v>
      </c>
      <c r="D268" s="1282">
        <f>SUM(F209)-(F202+F205+D267)</f>
        <v>11195.48</v>
      </c>
    </row>
    <row r="269" spans="3:4" ht="13.5" thickBot="1">
      <c r="C269" s="1283" t="s">
        <v>1433</v>
      </c>
      <c r="D269" s="1282">
        <f>SUM(D263:D268)</f>
        <v>30411.48</v>
      </c>
    </row>
    <row r="270" ht="9" customHeight="1"/>
    <row r="271" spans="3:4" ht="39" customHeight="1">
      <c r="C271" s="2835" t="s">
        <v>1913</v>
      </c>
      <c r="D271" s="2837">
        <v>22407</v>
      </c>
    </row>
    <row r="272" spans="3:4" ht="44.25" customHeight="1">
      <c r="C272" s="2836"/>
      <c r="D272" s="2838"/>
    </row>
  </sheetData>
  <sheetProtection/>
  <mergeCells count="280">
    <mergeCell ref="C200:E200"/>
    <mergeCell ref="A260:F260"/>
    <mergeCell ref="B234:C234"/>
    <mergeCell ref="A221:B221"/>
    <mergeCell ref="A217:B217"/>
    <mergeCell ref="A218:B218"/>
    <mergeCell ref="A219:B219"/>
    <mergeCell ref="A220:B220"/>
    <mergeCell ref="E212:F212"/>
    <mergeCell ref="A216:B216"/>
    <mergeCell ref="A215:B215"/>
    <mergeCell ref="A211:C211"/>
    <mergeCell ref="C204:E204"/>
    <mergeCell ref="C271:C272"/>
    <mergeCell ref="D271:D272"/>
    <mergeCell ref="A213:F213"/>
    <mergeCell ref="A204:B204"/>
    <mergeCell ref="C208:E208"/>
    <mergeCell ref="E211:F211"/>
    <mergeCell ref="C207:E207"/>
    <mergeCell ref="A132:A133"/>
    <mergeCell ref="B132:B133"/>
    <mergeCell ref="B146:B147"/>
    <mergeCell ref="C169:E169"/>
    <mergeCell ref="C159:E159"/>
    <mergeCell ref="C167:E167"/>
    <mergeCell ref="C149:D149"/>
    <mergeCell ref="B148:B149"/>
    <mergeCell ref="C160:E160"/>
    <mergeCell ref="A142:A143"/>
    <mergeCell ref="B142:B143"/>
    <mergeCell ref="C194:E194"/>
    <mergeCell ref="F130:F131"/>
    <mergeCell ref="A146:A147"/>
    <mergeCell ref="F140:F141"/>
    <mergeCell ref="F146:F147"/>
    <mergeCell ref="F132:F133"/>
    <mergeCell ref="B138:B139"/>
    <mergeCell ref="A134:A135"/>
    <mergeCell ref="A156:B157"/>
    <mergeCell ref="B151:E151"/>
    <mergeCell ref="C147:D147"/>
    <mergeCell ref="A152:F152"/>
    <mergeCell ref="F148:F149"/>
    <mergeCell ref="F120:F121"/>
    <mergeCell ref="C121:D121"/>
    <mergeCell ref="B128:B129"/>
    <mergeCell ref="B126:B127"/>
    <mergeCell ref="F122:F123"/>
    <mergeCell ref="B120:B121"/>
    <mergeCell ref="F128:F129"/>
    <mergeCell ref="B122:B123"/>
    <mergeCell ref="C135:D135"/>
    <mergeCell ref="C183:E183"/>
    <mergeCell ref="C184:E184"/>
    <mergeCell ref="C189:E189"/>
    <mergeCell ref="C186:E186"/>
    <mergeCell ref="A182:F182"/>
    <mergeCell ref="A148:A149"/>
    <mergeCell ref="A168:B168"/>
    <mergeCell ref="C166:E166"/>
    <mergeCell ref="C161:E161"/>
    <mergeCell ref="A205:B208"/>
    <mergeCell ref="A209:E209"/>
    <mergeCell ref="C205:E205"/>
    <mergeCell ref="C190:E190"/>
    <mergeCell ref="A202:E202"/>
    <mergeCell ref="C201:E201"/>
    <mergeCell ref="C198:E198"/>
    <mergeCell ref="C191:E191"/>
    <mergeCell ref="C192:E192"/>
    <mergeCell ref="C199:E199"/>
    <mergeCell ref="A158:F158"/>
    <mergeCell ref="A187:E187"/>
    <mergeCell ref="C180:E181"/>
    <mergeCell ref="C173:D173"/>
    <mergeCell ref="C171:E171"/>
    <mergeCell ref="C174:D174"/>
    <mergeCell ref="C172:E172"/>
    <mergeCell ref="A172:B172"/>
    <mergeCell ref="C179:F179"/>
    <mergeCell ref="A178:E178"/>
    <mergeCell ref="B177:E177"/>
    <mergeCell ref="C185:E185"/>
    <mergeCell ref="C162:E162"/>
    <mergeCell ref="C165:E165"/>
    <mergeCell ref="C168:E168"/>
    <mergeCell ref="C170:E170"/>
    <mergeCell ref="C163:E163"/>
    <mergeCell ref="C164:E164"/>
    <mergeCell ref="A180:B181"/>
    <mergeCell ref="A222:C222"/>
    <mergeCell ref="A214:B214"/>
    <mergeCell ref="C133:D133"/>
    <mergeCell ref="C125:F125"/>
    <mergeCell ref="F134:F135"/>
    <mergeCell ref="B130:B131"/>
    <mergeCell ref="C206:E206"/>
    <mergeCell ref="F126:F127"/>
    <mergeCell ref="C156:E157"/>
    <mergeCell ref="A155:F155"/>
    <mergeCell ref="F57:F58"/>
    <mergeCell ref="F54:F55"/>
    <mergeCell ref="A102:E102"/>
    <mergeCell ref="C112:E112"/>
    <mergeCell ref="A80:B80"/>
    <mergeCell ref="A63:A64"/>
    <mergeCell ref="B68:E68"/>
    <mergeCell ref="A66:F66"/>
    <mergeCell ref="C73:E73"/>
    <mergeCell ref="F63:F64"/>
    <mergeCell ref="A116:A117"/>
    <mergeCell ref="C113:E113"/>
    <mergeCell ref="A114:A115"/>
    <mergeCell ref="A103:B104"/>
    <mergeCell ref="C103:E104"/>
    <mergeCell ref="C106:E106"/>
    <mergeCell ref="A108:A109"/>
    <mergeCell ref="A110:A111"/>
    <mergeCell ref="C80:E80"/>
    <mergeCell ref="C69:E70"/>
    <mergeCell ref="C64:D64"/>
    <mergeCell ref="C77:E77"/>
    <mergeCell ref="C76:E76"/>
    <mergeCell ref="C74:E74"/>
    <mergeCell ref="C72:E72"/>
    <mergeCell ref="A101:E101"/>
    <mergeCell ref="B108:B109"/>
    <mergeCell ref="C109:D109"/>
    <mergeCell ref="A71:F71"/>
    <mergeCell ref="C79:E79"/>
    <mergeCell ref="C85:E85"/>
    <mergeCell ref="B100:E100"/>
    <mergeCell ref="A99:B99"/>
    <mergeCell ref="C82:E82"/>
    <mergeCell ref="C95:E95"/>
    <mergeCell ref="C98:E98"/>
    <mergeCell ref="C96:E96"/>
    <mergeCell ref="C97:E97"/>
    <mergeCell ref="C94:D94"/>
    <mergeCell ref="C90:E90"/>
    <mergeCell ref="C91:E91"/>
    <mergeCell ref="C55:D55"/>
    <mergeCell ref="C92:D93"/>
    <mergeCell ref="C89:E89"/>
    <mergeCell ref="C84:E84"/>
    <mergeCell ref="C86:E86"/>
    <mergeCell ref="B65:E65"/>
    <mergeCell ref="C57:D57"/>
    <mergeCell ref="C61:E61"/>
    <mergeCell ref="A91:B91"/>
    <mergeCell ref="C83:E83"/>
    <mergeCell ref="C23:E23"/>
    <mergeCell ref="C24:E24"/>
    <mergeCell ref="C26:E26"/>
    <mergeCell ref="C25:E25"/>
    <mergeCell ref="C75:E75"/>
    <mergeCell ref="C59:E59"/>
    <mergeCell ref="C81:E81"/>
    <mergeCell ref="B52:B53"/>
    <mergeCell ref="F50:F51"/>
    <mergeCell ref="C40:E40"/>
    <mergeCell ref="C47:D47"/>
    <mergeCell ref="A42:E42"/>
    <mergeCell ref="F48:F49"/>
    <mergeCell ref="B48:B49"/>
    <mergeCell ref="B50:B51"/>
    <mergeCell ref="B54:B55"/>
    <mergeCell ref="B57:B58"/>
    <mergeCell ref="A69:B70"/>
    <mergeCell ref="B63:B64"/>
    <mergeCell ref="C60:E60"/>
    <mergeCell ref="C53:D53"/>
    <mergeCell ref="A43:B44"/>
    <mergeCell ref="A54:A55"/>
    <mergeCell ref="A57:A58"/>
    <mergeCell ref="C56:E56"/>
    <mergeCell ref="A50:A51"/>
    <mergeCell ref="A48:A49"/>
    <mergeCell ref="A52:A53"/>
    <mergeCell ref="C51:D51"/>
    <mergeCell ref="C33:E33"/>
    <mergeCell ref="C49:D49"/>
    <mergeCell ref="C46:E46"/>
    <mergeCell ref="C37:E37"/>
    <mergeCell ref="C38:E38"/>
    <mergeCell ref="B41:E41"/>
    <mergeCell ref="C43:E44"/>
    <mergeCell ref="A45:F45"/>
    <mergeCell ref="F52:F53"/>
    <mergeCell ref="C35:E35"/>
    <mergeCell ref="C31:E31"/>
    <mergeCell ref="C28:E28"/>
    <mergeCell ref="C32:E32"/>
    <mergeCell ref="C39:E39"/>
    <mergeCell ref="C29:E29"/>
    <mergeCell ref="C36:D36"/>
    <mergeCell ref="C30:E30"/>
    <mergeCell ref="C34:E34"/>
    <mergeCell ref="C87:E87"/>
    <mergeCell ref="C88:E88"/>
    <mergeCell ref="C78:E78"/>
    <mergeCell ref="F110:F111"/>
    <mergeCell ref="C111:D111"/>
    <mergeCell ref="A105:F105"/>
    <mergeCell ref="C107:F107"/>
    <mergeCell ref="F108:F109"/>
    <mergeCell ref="B110:B111"/>
    <mergeCell ref="C99:E99"/>
    <mergeCell ref="A1:B2"/>
    <mergeCell ref="C1:E2"/>
    <mergeCell ref="B17:E17"/>
    <mergeCell ref="C5:D5"/>
    <mergeCell ref="A3:F3"/>
    <mergeCell ref="C4:E4"/>
    <mergeCell ref="A6:A7"/>
    <mergeCell ref="F6:F7"/>
    <mergeCell ref="A8:A9"/>
    <mergeCell ref="C7:D7"/>
    <mergeCell ref="C27:E27"/>
    <mergeCell ref="A11:A12"/>
    <mergeCell ref="A15:F15"/>
    <mergeCell ref="B14:E14"/>
    <mergeCell ref="F11:F12"/>
    <mergeCell ref="C12:D12"/>
    <mergeCell ref="A19:B20"/>
    <mergeCell ref="F8:F9"/>
    <mergeCell ref="C10:E10"/>
    <mergeCell ref="C22:E22"/>
    <mergeCell ref="C21:E21"/>
    <mergeCell ref="C19:E20"/>
    <mergeCell ref="B8:B9"/>
    <mergeCell ref="C8:D8"/>
    <mergeCell ref="B6:B7"/>
    <mergeCell ref="C13:E13"/>
    <mergeCell ref="B11:B12"/>
    <mergeCell ref="A130:A131"/>
    <mergeCell ref="C123:D123"/>
    <mergeCell ref="A128:A129"/>
    <mergeCell ref="C115:D115"/>
    <mergeCell ref="C131:D131"/>
    <mergeCell ref="C129:D129"/>
    <mergeCell ref="A118:A119"/>
    <mergeCell ref="C127:D127"/>
    <mergeCell ref="A122:A123"/>
    <mergeCell ref="A126:A127"/>
    <mergeCell ref="F118:F119"/>
    <mergeCell ref="F114:F115"/>
    <mergeCell ref="B114:B115"/>
    <mergeCell ref="C119:D119"/>
    <mergeCell ref="B116:B117"/>
    <mergeCell ref="C117:D117"/>
    <mergeCell ref="F116:F117"/>
    <mergeCell ref="B118:B119"/>
    <mergeCell ref="A120:A121"/>
    <mergeCell ref="C175:E175"/>
    <mergeCell ref="C176:E176"/>
    <mergeCell ref="B154:E154"/>
    <mergeCell ref="A144:A145"/>
    <mergeCell ref="C143:D143"/>
    <mergeCell ref="B144:B145"/>
    <mergeCell ref="A176:B176"/>
    <mergeCell ref="A138:A139"/>
    <mergeCell ref="C137:D137"/>
    <mergeCell ref="C195:E195"/>
    <mergeCell ref="C196:E196"/>
    <mergeCell ref="C193:E193"/>
    <mergeCell ref="C197:E197"/>
    <mergeCell ref="B134:B135"/>
    <mergeCell ref="B136:B137"/>
    <mergeCell ref="B140:B141"/>
    <mergeCell ref="A136:A137"/>
    <mergeCell ref="A140:A141"/>
    <mergeCell ref="F136:F137"/>
    <mergeCell ref="F144:F145"/>
    <mergeCell ref="C145:D145"/>
    <mergeCell ref="F138:F139"/>
    <mergeCell ref="C139:D139"/>
    <mergeCell ref="F142:F143"/>
    <mergeCell ref="C141:D141"/>
  </mergeCells>
  <printOptions/>
  <pageMargins left="0.6299212598425197" right="0.6299212598425197" top="1.0236220472440944" bottom="0.5905511811023623" header="0.3937007874015748" footer="0.31496062992125984"/>
  <pageSetup horizontalDpi="600" verticalDpi="600" orientation="portrait" paperSize="9" r:id="rId2"/>
  <headerFooter alignWithMargins="0">
    <oddHeader>&amp;RVárosi Könyvtár
2012. évi költségvetés</oddHeader>
    <oddFooter>&amp;C&amp;P</oddFooter>
  </headerFooter>
  <rowBreaks count="5" manualBreakCount="5">
    <brk id="42" max="255" man="1"/>
    <brk id="68" max="255" man="1"/>
    <brk id="102" max="255" man="1"/>
    <brk id="178" max="255" man="1"/>
    <brk id="212" max="255" man="1"/>
  </rowBreaks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28"/>
  </sheetPr>
  <dimension ref="A1:I157"/>
  <sheetViews>
    <sheetView view="pageBreakPreview" zoomScaleSheetLayoutView="100" zoomScalePageLayoutView="0" workbookViewId="0" topLeftCell="A22">
      <selection activeCell="E63" sqref="E63"/>
    </sheetView>
  </sheetViews>
  <sheetFormatPr defaultColWidth="9.140625" defaultRowHeight="12.75"/>
  <cols>
    <col min="1" max="2" width="9.7109375" style="0" customWidth="1"/>
    <col min="3" max="3" width="51.57421875" style="0" customWidth="1"/>
    <col min="4" max="6" width="9.7109375" style="7" customWidth="1"/>
    <col min="7" max="7" width="9.7109375" style="0" customWidth="1"/>
  </cols>
  <sheetData>
    <row r="1" spans="1:4" ht="15.75">
      <c r="A1" s="2866"/>
      <c r="B1" s="2866"/>
      <c r="C1" s="2866"/>
      <c r="D1" s="1451"/>
    </row>
    <row r="2" spans="1:8" ht="15.75">
      <c r="A2" s="2867" t="s">
        <v>927</v>
      </c>
      <c r="B2" s="2546"/>
      <c r="C2" s="2546"/>
      <c r="D2" s="2546"/>
      <c r="E2" s="2546"/>
      <c r="F2" s="2546"/>
      <c r="G2" s="2546"/>
      <c r="H2" s="417"/>
    </row>
    <row r="3" spans="1:4" ht="15.75">
      <c r="A3" s="2867"/>
      <c r="B3" s="2867"/>
      <c r="C3" s="2867"/>
      <c r="D3" s="2397"/>
    </row>
    <row r="4" spans="1:8" ht="15.75">
      <c r="A4" s="2869" t="s">
        <v>928</v>
      </c>
      <c r="B4" s="2546"/>
      <c r="C4" s="2546"/>
      <c r="D4" s="2546"/>
      <c r="E4" s="2546"/>
      <c r="F4" s="2546"/>
      <c r="G4" s="2546"/>
      <c r="H4" s="417"/>
    </row>
    <row r="5" spans="1:4" ht="15.75">
      <c r="A5" s="2869"/>
      <c r="B5" s="2870"/>
      <c r="C5" s="2870"/>
      <c r="D5" s="2870"/>
    </row>
    <row r="6" spans="1:7" ht="12.75" customHeight="1">
      <c r="A6" s="2860" t="s">
        <v>163</v>
      </c>
      <c r="B6" s="2861"/>
      <c r="C6" s="2860" t="s">
        <v>818</v>
      </c>
      <c r="D6" s="2857">
        <v>852031</v>
      </c>
      <c r="E6" s="2859">
        <v>852032</v>
      </c>
      <c r="F6" s="2868" t="s">
        <v>1433</v>
      </c>
      <c r="G6" s="2546"/>
    </row>
    <row r="7" spans="1:7" ht="49.5" customHeight="1">
      <c r="A7" s="2862"/>
      <c r="B7" s="2863"/>
      <c r="C7" s="2871"/>
      <c r="D7" s="2858"/>
      <c r="E7" s="2859"/>
      <c r="F7" s="2868"/>
      <c r="G7" s="2546"/>
    </row>
    <row r="8" spans="1:6" ht="15.75" customHeight="1">
      <c r="A8" s="2864"/>
      <c r="B8" s="2865"/>
      <c r="C8" s="1457" t="s">
        <v>929</v>
      </c>
      <c r="D8" s="1458" t="s">
        <v>922</v>
      </c>
      <c r="E8" s="1458" t="s">
        <v>922</v>
      </c>
      <c r="F8" s="1458" t="s">
        <v>922</v>
      </c>
    </row>
    <row r="9" spans="1:6" ht="15.75" customHeight="1">
      <c r="A9" s="4" t="s">
        <v>821</v>
      </c>
      <c r="B9" s="4" t="s">
        <v>822</v>
      </c>
      <c r="C9" s="1459" t="s">
        <v>511</v>
      </c>
      <c r="D9" s="2872" t="s">
        <v>930</v>
      </c>
      <c r="E9" s="2873"/>
      <c r="F9" s="2874"/>
    </row>
    <row r="10" spans="1:6" ht="15.75" customHeight="1">
      <c r="A10" s="5"/>
      <c r="B10" s="5"/>
      <c r="C10" s="1459"/>
      <c r="D10" s="1460"/>
      <c r="E10" s="1461"/>
      <c r="F10" s="1461"/>
    </row>
    <row r="11" spans="1:6" ht="15.75" customHeight="1">
      <c r="A11" s="1462"/>
      <c r="B11" s="1462"/>
      <c r="C11" s="1463" t="s">
        <v>931</v>
      </c>
      <c r="D11" s="1460"/>
      <c r="E11" s="1461"/>
      <c r="F11" s="1461"/>
    </row>
    <row r="12" spans="1:6" ht="15.75" customHeight="1">
      <c r="A12" s="1464">
        <v>511112</v>
      </c>
      <c r="B12" s="1464">
        <v>511212</v>
      </c>
      <c r="C12" s="1465" t="s">
        <v>932</v>
      </c>
      <c r="D12" s="1466">
        <v>11496</v>
      </c>
      <c r="E12" s="1461">
        <v>3574</v>
      </c>
      <c r="F12" s="340">
        <f>SUM(D12:E12)</f>
        <v>15070</v>
      </c>
    </row>
    <row r="13" spans="1:6" ht="15.75" customHeight="1">
      <c r="A13" s="1467"/>
      <c r="B13" s="1467"/>
      <c r="C13" s="1468" t="s">
        <v>933</v>
      </c>
      <c r="D13" s="1469">
        <v>527</v>
      </c>
      <c r="E13" s="1461">
        <v>176</v>
      </c>
      <c r="F13" s="616">
        <f>SUM(D13:E13)</f>
        <v>703</v>
      </c>
    </row>
    <row r="14" spans="1:6" ht="15.75" customHeight="1">
      <c r="A14" s="1470"/>
      <c r="B14" s="1470"/>
      <c r="C14" s="1470"/>
      <c r="D14" s="1471"/>
      <c r="E14" s="1461"/>
      <c r="F14" s="1461"/>
    </row>
    <row r="15" spans="1:6" ht="15.75" customHeight="1">
      <c r="A15" s="663">
        <v>511112</v>
      </c>
      <c r="B15" s="663">
        <v>511212</v>
      </c>
      <c r="C15" s="663" t="s">
        <v>934</v>
      </c>
      <c r="D15" s="1472">
        <f>D12+D13</f>
        <v>12023</v>
      </c>
      <c r="E15" s="1473">
        <f>E12+E13</f>
        <v>3750</v>
      </c>
      <c r="F15" s="340">
        <f>SUM(D15:E15)</f>
        <v>15773</v>
      </c>
    </row>
    <row r="16" spans="1:6" ht="15.75" customHeight="1">
      <c r="A16" s="663"/>
      <c r="B16" s="663"/>
      <c r="C16" s="663"/>
      <c r="D16" s="1472"/>
      <c r="E16" s="1461"/>
      <c r="F16" s="1461"/>
    </row>
    <row r="17" spans="1:6" ht="15.75" customHeight="1">
      <c r="A17" s="662">
        <v>511142</v>
      </c>
      <c r="B17" s="1470">
        <v>511242</v>
      </c>
      <c r="C17" s="662" t="s">
        <v>935</v>
      </c>
      <c r="D17" s="1474"/>
      <c r="E17" s="1461"/>
      <c r="F17" s="1461"/>
    </row>
    <row r="18" spans="1:6" ht="15.75" customHeight="1">
      <c r="A18" s="662"/>
      <c r="B18" s="1470"/>
      <c r="C18" s="662" t="s">
        <v>936</v>
      </c>
      <c r="D18" s="1474">
        <v>312</v>
      </c>
      <c r="E18" s="1461"/>
      <c r="F18" s="340">
        <f>SUM(D18:E18)</f>
        <v>312</v>
      </c>
    </row>
    <row r="19" spans="1:6" ht="15.75" customHeight="1">
      <c r="A19" s="662"/>
      <c r="B19" s="1470"/>
      <c r="C19" s="662" t="s">
        <v>937</v>
      </c>
      <c r="D19" s="1471">
        <v>576</v>
      </c>
      <c r="E19" s="1461">
        <v>192</v>
      </c>
      <c r="F19" s="340">
        <f>SUM(D19:E19)</f>
        <v>768</v>
      </c>
    </row>
    <row r="20" spans="1:6" ht="15.75" customHeight="1">
      <c r="A20" s="1470"/>
      <c r="B20" s="1470"/>
      <c r="C20" s="1470" t="s">
        <v>938</v>
      </c>
      <c r="D20" s="1474"/>
      <c r="E20" s="1461"/>
      <c r="F20" s="1461"/>
    </row>
    <row r="21" spans="1:6" ht="15.75" customHeight="1">
      <c r="A21" s="1470"/>
      <c r="B21" s="1470"/>
      <c r="C21" s="1470" t="s">
        <v>939</v>
      </c>
      <c r="D21" s="1474"/>
      <c r="E21" s="1461"/>
      <c r="F21" s="1461"/>
    </row>
    <row r="22" spans="1:6" ht="15.75" customHeight="1">
      <c r="A22" s="1470"/>
      <c r="B22" s="1470"/>
      <c r="C22" s="1470" t="s">
        <v>940</v>
      </c>
      <c r="D22" s="1471"/>
      <c r="E22" s="1461"/>
      <c r="F22" s="1461"/>
    </row>
    <row r="23" spans="1:6" ht="15.75" customHeight="1">
      <c r="A23" s="1470"/>
      <c r="B23" s="1470"/>
      <c r="C23" s="1470" t="s">
        <v>941</v>
      </c>
      <c r="D23" s="1471"/>
      <c r="E23" s="1461"/>
      <c r="F23" s="1461"/>
    </row>
    <row r="24" spans="1:6" ht="15.75" customHeight="1">
      <c r="A24" s="1470"/>
      <c r="B24" s="1470"/>
      <c r="C24" s="1470" t="s">
        <v>942</v>
      </c>
      <c r="D24" s="1471"/>
      <c r="E24" s="1461"/>
      <c r="F24" s="1461"/>
    </row>
    <row r="25" spans="1:6" ht="15.75" customHeight="1">
      <c r="A25" s="1470"/>
      <c r="B25" s="1470"/>
      <c r="C25" s="1468" t="s">
        <v>933</v>
      </c>
      <c r="D25" s="1471">
        <v>57</v>
      </c>
      <c r="E25" s="1461">
        <v>19</v>
      </c>
      <c r="F25" s="616">
        <f>SUM(D25:E25)</f>
        <v>76</v>
      </c>
    </row>
    <row r="26" spans="1:6" ht="15.75" customHeight="1">
      <c r="A26" s="663">
        <v>511142</v>
      </c>
      <c r="B26" s="663">
        <v>511242</v>
      </c>
      <c r="C26" s="663" t="s">
        <v>943</v>
      </c>
      <c r="D26" s="1472">
        <f>SUM(D17:D25)</f>
        <v>945</v>
      </c>
      <c r="E26" s="340">
        <f>SUM(E18:E25)</f>
        <v>211</v>
      </c>
      <c r="F26" s="340">
        <f>SUM(D26:E26)</f>
        <v>1156</v>
      </c>
    </row>
    <row r="27" spans="1:6" ht="15.75" customHeight="1">
      <c r="A27" s="1470"/>
      <c r="B27" s="1470"/>
      <c r="C27" s="663"/>
      <c r="D27" s="1472"/>
      <c r="E27" s="1461"/>
      <c r="F27" s="1461"/>
    </row>
    <row r="28" spans="1:6" ht="15.75" customHeight="1">
      <c r="A28" s="663">
        <v>512132</v>
      </c>
      <c r="B28" s="663">
        <v>512232</v>
      </c>
      <c r="C28" s="663" t="s">
        <v>944</v>
      </c>
      <c r="D28" s="1472">
        <v>112</v>
      </c>
      <c r="E28" s="340">
        <v>434</v>
      </c>
      <c r="F28" s="340">
        <f>SUM(D28:E28)</f>
        <v>546</v>
      </c>
    </row>
    <row r="29" spans="1:6" ht="15.75" customHeight="1">
      <c r="A29" s="1470"/>
      <c r="B29" s="1470"/>
      <c r="C29" s="1475" t="s">
        <v>933</v>
      </c>
      <c r="D29" s="1474"/>
      <c r="E29" s="1461"/>
      <c r="F29" s="340">
        <f>SUM(D29:E29)</f>
        <v>0</v>
      </c>
    </row>
    <row r="30" spans="1:6" ht="15.75" customHeight="1">
      <c r="A30" s="663">
        <v>512142</v>
      </c>
      <c r="B30" s="663">
        <v>512242</v>
      </c>
      <c r="C30" s="663" t="s">
        <v>945</v>
      </c>
      <c r="D30" s="1472"/>
      <c r="E30" s="340"/>
      <c r="F30" s="340">
        <f>SUM(D30:E30)</f>
        <v>0</v>
      </c>
    </row>
    <row r="31" spans="1:6" ht="15.75" customHeight="1">
      <c r="A31" s="1470"/>
      <c r="B31" s="1470"/>
      <c r="C31" s="663"/>
      <c r="D31" s="1472"/>
      <c r="E31" s="1461"/>
      <c r="F31" s="1461"/>
    </row>
    <row r="32" spans="1:6" ht="15.75" customHeight="1">
      <c r="A32" s="662">
        <v>512192</v>
      </c>
      <c r="B32" s="662">
        <v>512292</v>
      </c>
      <c r="C32" s="662" t="s">
        <v>946</v>
      </c>
      <c r="D32" s="1474">
        <v>378</v>
      </c>
      <c r="E32" s="1461">
        <v>126</v>
      </c>
      <c r="F32" s="340">
        <f>SUM(D32:E32)</f>
        <v>504</v>
      </c>
    </row>
    <row r="33" spans="1:6" ht="15.75" customHeight="1">
      <c r="A33" s="1470"/>
      <c r="B33" s="1470"/>
      <c r="C33" s="1468" t="s">
        <v>933</v>
      </c>
      <c r="D33" s="1471">
        <v>6</v>
      </c>
      <c r="E33" s="1461">
        <v>2</v>
      </c>
      <c r="F33" s="616">
        <f>SUM(D33:E33)</f>
        <v>8</v>
      </c>
    </row>
    <row r="34" spans="1:6" ht="15.75" customHeight="1">
      <c r="A34" s="1470"/>
      <c r="B34" s="1470"/>
      <c r="C34" s="662"/>
      <c r="D34" s="1471"/>
      <c r="E34" s="1461"/>
      <c r="F34" s="616"/>
    </row>
    <row r="35" spans="1:6" ht="15.75" customHeight="1">
      <c r="A35" s="663">
        <v>512192</v>
      </c>
      <c r="B35" s="663">
        <v>512292</v>
      </c>
      <c r="C35" s="663" t="s">
        <v>947</v>
      </c>
      <c r="D35" s="1472">
        <f>SUM(D32:D34)</f>
        <v>384</v>
      </c>
      <c r="E35" s="340">
        <f>SUM(E32:E34)</f>
        <v>128</v>
      </c>
      <c r="F35" s="340">
        <f>SUM(D35:E35)</f>
        <v>512</v>
      </c>
    </row>
    <row r="36" spans="1:6" ht="15.75" customHeight="1">
      <c r="A36" s="1470"/>
      <c r="B36" s="1470"/>
      <c r="C36" s="663"/>
      <c r="D36" s="1472"/>
      <c r="E36" s="1461"/>
      <c r="F36" s="1461"/>
    </row>
    <row r="37" spans="1:6" ht="15.75" customHeight="1">
      <c r="A37" s="663">
        <v>513122</v>
      </c>
      <c r="B37" s="663">
        <v>513222</v>
      </c>
      <c r="C37" s="663" t="s">
        <v>948</v>
      </c>
      <c r="D37" s="1474">
        <v>31</v>
      </c>
      <c r="E37" s="1461">
        <v>10</v>
      </c>
      <c r="F37" s="340">
        <f>SUM(D37:E37)</f>
        <v>41</v>
      </c>
    </row>
    <row r="38" spans="1:6" ht="15.75" customHeight="1">
      <c r="A38" s="1470">
        <v>513132</v>
      </c>
      <c r="B38" s="1470">
        <v>513232</v>
      </c>
      <c r="C38" s="662" t="s">
        <v>949</v>
      </c>
      <c r="D38" s="1474">
        <v>1</v>
      </c>
      <c r="E38" s="616"/>
      <c r="F38" s="340">
        <f>SUM(D38:E38)</f>
        <v>1</v>
      </c>
    </row>
    <row r="39" spans="1:6" ht="15.75" customHeight="1">
      <c r="A39" s="663">
        <v>513192</v>
      </c>
      <c r="B39" s="663">
        <v>513292</v>
      </c>
      <c r="C39" s="662" t="s">
        <v>950</v>
      </c>
      <c r="D39" s="1474">
        <v>38</v>
      </c>
      <c r="E39" s="616">
        <v>13</v>
      </c>
      <c r="F39" s="340">
        <f>SUM(D39:E39)</f>
        <v>51</v>
      </c>
    </row>
    <row r="40" spans="1:6" ht="15.75" customHeight="1">
      <c r="A40" s="1470"/>
      <c r="B40" s="1470"/>
      <c r="C40" s="1468" t="s">
        <v>933</v>
      </c>
      <c r="D40" s="1474"/>
      <c r="E40" s="616"/>
      <c r="F40" s="1461"/>
    </row>
    <row r="41" spans="1:6" ht="15.75" customHeight="1">
      <c r="A41" s="663">
        <v>513</v>
      </c>
      <c r="B41" s="663">
        <v>513</v>
      </c>
      <c r="C41" s="663" t="s">
        <v>1171</v>
      </c>
      <c r="D41" s="1476">
        <f>SUM(D37:D40)</f>
        <v>70</v>
      </c>
      <c r="E41" s="1476">
        <f>SUM(E37:E40)</f>
        <v>23</v>
      </c>
      <c r="F41" s="340">
        <f>SUM(D41:E41)</f>
        <v>93</v>
      </c>
    </row>
    <row r="42" spans="1:6" ht="15.75" customHeight="1">
      <c r="A42" s="663"/>
      <c r="B42" s="663"/>
      <c r="C42" s="663"/>
      <c r="D42" s="1472"/>
      <c r="E42" s="1461"/>
      <c r="F42" s="1461"/>
    </row>
    <row r="43" spans="1:6" ht="15.75" customHeight="1">
      <c r="A43" s="663">
        <v>514132</v>
      </c>
      <c r="B43" s="663">
        <v>514232</v>
      </c>
      <c r="C43" s="663" t="s">
        <v>951</v>
      </c>
      <c r="D43" s="1476">
        <v>0</v>
      </c>
      <c r="E43" s="340"/>
      <c r="F43" s="340">
        <f>SUM(D43:E43)</f>
        <v>0</v>
      </c>
    </row>
    <row r="44" spans="1:6" ht="15.75" customHeight="1">
      <c r="A44" s="1470"/>
      <c r="B44" s="1470"/>
      <c r="C44" s="662"/>
      <c r="D44" s="1477"/>
      <c r="E44" s="1461"/>
      <c r="F44" s="1461"/>
    </row>
    <row r="45" spans="1:6" ht="15.75" customHeight="1">
      <c r="A45" s="663">
        <v>514142</v>
      </c>
      <c r="B45" s="663">
        <v>514242</v>
      </c>
      <c r="C45" s="663" t="s">
        <v>952</v>
      </c>
      <c r="D45" s="1476">
        <v>0</v>
      </c>
      <c r="E45" s="1461"/>
      <c r="F45" s="340">
        <f>SUM(D45:E45)</f>
        <v>0</v>
      </c>
    </row>
    <row r="46" spans="1:6" ht="15.75" customHeight="1">
      <c r="A46" s="1470"/>
      <c r="B46" s="1470"/>
      <c r="C46" s="662"/>
      <c r="D46" s="1477"/>
      <c r="E46" s="1461"/>
      <c r="F46" s="1461"/>
    </row>
    <row r="47" spans="1:6" ht="15.75" customHeight="1">
      <c r="A47" s="1470">
        <v>514192</v>
      </c>
      <c r="B47" s="1470">
        <v>514292</v>
      </c>
      <c r="C47" s="1478" t="s">
        <v>953</v>
      </c>
      <c r="D47" s="1476"/>
      <c r="E47" s="340"/>
      <c r="F47" s="340">
        <f>SUM(D47:E47)</f>
        <v>0</v>
      </c>
    </row>
    <row r="48" spans="1:6" ht="15.75" customHeight="1">
      <c r="A48" s="1470"/>
      <c r="B48" s="1470"/>
      <c r="C48" s="1478"/>
      <c r="D48" s="1472"/>
      <c r="E48" s="1461"/>
      <c r="F48" s="1461"/>
    </row>
    <row r="49" spans="1:6" ht="15.75" customHeight="1">
      <c r="A49" s="662">
        <v>514</v>
      </c>
      <c r="B49" s="662">
        <v>514</v>
      </c>
      <c r="C49" s="1478" t="s">
        <v>954</v>
      </c>
      <c r="D49" s="1472">
        <f>SUM(D43:D48)</f>
        <v>0</v>
      </c>
      <c r="E49" s="340">
        <f>SUM(E43:E48)</f>
        <v>0</v>
      </c>
      <c r="F49" s="340">
        <f>SUM(D49:E49)</f>
        <v>0</v>
      </c>
    </row>
    <row r="50" spans="1:6" ht="15.75" customHeight="1">
      <c r="A50" s="1470"/>
      <c r="B50" s="1470"/>
      <c r="C50" s="663"/>
      <c r="D50" s="1472"/>
      <c r="E50" s="1461"/>
      <c r="F50" s="1461"/>
    </row>
    <row r="51" spans="1:6" ht="15.75" customHeight="1">
      <c r="A51" s="663">
        <v>51</v>
      </c>
      <c r="B51" s="1470"/>
      <c r="C51" s="663" t="s">
        <v>165</v>
      </c>
      <c r="D51" s="1472">
        <f>D15+D26+D28+D35+D41+D49</f>
        <v>13534</v>
      </c>
      <c r="E51" s="340">
        <f>E15+E26+E28+E30+E35+E41+E49</f>
        <v>4546</v>
      </c>
      <c r="F51" s="340">
        <f>F15+F26+F28+F35+F41</f>
        <v>18080</v>
      </c>
    </row>
    <row r="52" spans="1:6" ht="15.75" customHeight="1">
      <c r="A52" s="663"/>
      <c r="B52" s="1470"/>
      <c r="C52" s="663"/>
      <c r="D52" s="1472"/>
      <c r="E52" s="1461"/>
      <c r="F52" s="1461"/>
    </row>
    <row r="53" spans="1:6" ht="15.75" customHeight="1">
      <c r="A53" s="38">
        <v>52211</v>
      </c>
      <c r="B53" s="38">
        <v>52221</v>
      </c>
      <c r="C53" s="38" t="s">
        <v>887</v>
      </c>
      <c r="D53" s="1472">
        <v>992</v>
      </c>
      <c r="E53" s="1461"/>
      <c r="F53" s="340">
        <f>SUM(D53:E53)</f>
        <v>992</v>
      </c>
    </row>
    <row r="54" spans="1:6" ht="15.75" customHeight="1">
      <c r="A54" s="1464">
        <v>52217</v>
      </c>
      <c r="B54" s="1464">
        <v>52227</v>
      </c>
      <c r="C54" s="38" t="s">
        <v>955</v>
      </c>
      <c r="D54" s="1472">
        <v>2310</v>
      </c>
      <c r="E54" s="1461"/>
      <c r="F54" s="340">
        <f>SUM(D54:E54)</f>
        <v>2310</v>
      </c>
    </row>
    <row r="55" spans="1:6" ht="15.75" customHeight="1">
      <c r="A55" s="1464"/>
      <c r="B55" s="1464"/>
      <c r="C55" s="38" t="s">
        <v>324</v>
      </c>
      <c r="D55" s="1472">
        <v>273</v>
      </c>
      <c r="E55" s="1461"/>
      <c r="F55" s="340">
        <f>SUM(D55:E55)</f>
        <v>273</v>
      </c>
    </row>
    <row r="56" spans="1:6" ht="15.75" customHeight="1">
      <c r="A56" s="1464">
        <v>52217</v>
      </c>
      <c r="B56" s="1464">
        <v>52227</v>
      </c>
      <c r="C56" s="1468" t="s">
        <v>933</v>
      </c>
      <c r="D56" s="1472">
        <v>4</v>
      </c>
      <c r="E56" s="1461"/>
      <c r="F56" s="340">
        <f>SUM(D56:E56)</f>
        <v>4</v>
      </c>
    </row>
    <row r="57" spans="1:6" ht="15.75" customHeight="1">
      <c r="A57" s="550">
        <v>52</v>
      </c>
      <c r="B57" s="550"/>
      <c r="C57" s="550" t="s">
        <v>325</v>
      </c>
      <c r="D57" s="1472">
        <f>D53+D54+D55+D56</f>
        <v>3579</v>
      </c>
      <c r="E57" s="340">
        <f>E53+E56</f>
        <v>0</v>
      </c>
      <c r="F57" s="340">
        <f>SUM(D57:E57)</f>
        <v>3579</v>
      </c>
    </row>
    <row r="58" spans="1:6" ht="15.75" customHeight="1">
      <c r="A58" s="38"/>
      <c r="B58" s="1464"/>
      <c r="C58" s="38"/>
      <c r="D58" s="1472"/>
      <c r="E58" s="1461"/>
      <c r="F58" s="1461"/>
    </row>
    <row r="59" spans="1:6" ht="15.75" customHeight="1">
      <c r="A59" s="38"/>
      <c r="B59" s="1464"/>
      <c r="C59" s="38" t="s">
        <v>326</v>
      </c>
      <c r="D59" s="1472">
        <f>D51+D57</f>
        <v>17113</v>
      </c>
      <c r="E59" s="340">
        <f>E51+E57</f>
        <v>4546</v>
      </c>
      <c r="F59" s="340">
        <f>F51+F57</f>
        <v>21659</v>
      </c>
    </row>
    <row r="60" spans="1:9" ht="15.75" customHeight="1">
      <c r="A60" s="1479"/>
      <c r="B60" s="1480"/>
      <c r="C60" s="1479"/>
      <c r="D60" s="1481"/>
      <c r="E60" s="1482"/>
      <c r="F60" s="1483"/>
      <c r="I60" s="7"/>
    </row>
    <row r="61" spans="1:9" ht="15.75" customHeight="1">
      <c r="A61" s="1484"/>
      <c r="B61" s="1485"/>
      <c r="C61" s="1484"/>
      <c r="D61" s="1486"/>
      <c r="E61" s="1487"/>
      <c r="F61" s="1488"/>
      <c r="I61" s="7"/>
    </row>
    <row r="62" spans="1:9" ht="15.75" customHeight="1">
      <c r="A62" s="1489">
        <v>5311</v>
      </c>
      <c r="B62" s="1489">
        <v>5312</v>
      </c>
      <c r="C62" s="1490" t="s">
        <v>838</v>
      </c>
      <c r="D62" s="1491">
        <f>H62*27/100</f>
        <v>4442.31</v>
      </c>
      <c r="E62" s="340">
        <f>I62*27/100</f>
        <v>1223.91</v>
      </c>
      <c r="F62" s="340">
        <f>SUM(D62:E62)</f>
        <v>5666.22</v>
      </c>
      <c r="H62" s="7">
        <f>D12+D18+D19+D28+D32+D57</f>
        <v>16453</v>
      </c>
      <c r="I62" s="7">
        <f>E15+E26+E28+E35+E37+E49</f>
        <v>4533</v>
      </c>
    </row>
    <row r="63" spans="1:8" ht="15.75" customHeight="1">
      <c r="A63" s="1492"/>
      <c r="B63" s="1492"/>
      <c r="C63" s="1492" t="s">
        <v>327</v>
      </c>
      <c r="D63" s="1493">
        <v>168</v>
      </c>
      <c r="E63" s="340">
        <v>56</v>
      </c>
      <c r="F63" s="340">
        <f>SUM(D63:E63)</f>
        <v>224</v>
      </c>
      <c r="G63" s="7"/>
      <c r="H63" s="7"/>
    </row>
    <row r="64" spans="1:6" ht="15.75" customHeight="1">
      <c r="A64" s="1489">
        <v>53</v>
      </c>
      <c r="B64" s="1494"/>
      <c r="C64" s="1489" t="s">
        <v>328</v>
      </c>
      <c r="D64" s="1495">
        <f>D62+D63</f>
        <v>4610.31</v>
      </c>
      <c r="E64" s="340">
        <f>E62+E63</f>
        <v>1279.91</v>
      </c>
      <c r="F64" s="340">
        <f>SUM(D64:E64)</f>
        <v>5890.22</v>
      </c>
    </row>
    <row r="65" spans="1:6" ht="15.75" customHeight="1">
      <c r="A65" s="1450"/>
      <c r="B65" s="1496"/>
      <c r="C65" s="1497"/>
      <c r="D65" s="1498"/>
      <c r="E65" s="1499"/>
      <c r="F65" s="1499"/>
    </row>
    <row r="66" spans="1:8" ht="15.75" customHeight="1">
      <c r="A66" s="2867"/>
      <c r="B66" s="2546"/>
      <c r="C66" s="2546"/>
      <c r="D66" s="2546"/>
      <c r="E66" s="2546"/>
      <c r="F66" s="2546"/>
      <c r="G66" s="2546"/>
      <c r="H66" s="417"/>
    </row>
    <row r="67" spans="1:8" ht="15.75" customHeight="1">
      <c r="A67" s="2875" t="s">
        <v>1635</v>
      </c>
      <c r="B67" s="2876"/>
      <c r="C67" s="2876"/>
      <c r="D67" s="1500"/>
      <c r="E67" s="1500"/>
      <c r="F67" s="628">
        <f>F59+F64</f>
        <v>27549.22</v>
      </c>
      <c r="G67" s="417"/>
      <c r="H67" s="417"/>
    </row>
    <row r="68" spans="1:8" ht="15.75" customHeight="1">
      <c r="A68" s="1452"/>
      <c r="B68" s="417"/>
      <c r="C68" s="417"/>
      <c r="D68" s="417"/>
      <c r="E68" s="417"/>
      <c r="F68" s="1501"/>
      <c r="G68" s="417"/>
      <c r="H68" s="417"/>
    </row>
    <row r="69" spans="1:8" ht="15.75" customHeight="1">
      <c r="A69" s="2867" t="s">
        <v>927</v>
      </c>
      <c r="B69" s="2546"/>
      <c r="C69" s="2546"/>
      <c r="D69" s="2546"/>
      <c r="E69" s="2546"/>
      <c r="F69" s="2546"/>
      <c r="G69" s="2546"/>
      <c r="H69" s="417"/>
    </row>
    <row r="70" spans="1:4" ht="15.75" customHeight="1">
      <c r="A70" s="2867"/>
      <c r="B70" s="2867"/>
      <c r="C70" s="2867"/>
      <c r="D70" s="2397"/>
    </row>
    <row r="71" spans="1:8" ht="15.75" customHeight="1">
      <c r="A71" s="2869" t="s">
        <v>928</v>
      </c>
      <c r="B71" s="2546"/>
      <c r="C71" s="2546"/>
      <c r="D71" s="2546"/>
      <c r="E71" s="2546"/>
      <c r="F71" s="2546"/>
      <c r="G71" s="2546"/>
      <c r="H71" s="417"/>
    </row>
    <row r="72" spans="1:4" ht="15.75" customHeight="1">
      <c r="A72" s="2869"/>
      <c r="B72" s="2870"/>
      <c r="C72" s="2870"/>
      <c r="D72" s="2870"/>
    </row>
    <row r="73" spans="1:8" ht="15.75" customHeight="1">
      <c r="A73" s="2869" t="s">
        <v>1636</v>
      </c>
      <c r="B73" s="2546"/>
      <c r="C73" s="2546"/>
      <c r="D73" s="2546"/>
      <c r="E73" s="2546"/>
      <c r="F73" s="2546"/>
      <c r="G73" s="2546"/>
      <c r="H73" s="417"/>
    </row>
    <row r="74" spans="1:4" ht="15.75" customHeight="1">
      <c r="A74" s="1502"/>
      <c r="B74" s="1502"/>
      <c r="C74" s="1502"/>
      <c r="D74" s="1503"/>
    </row>
    <row r="75" spans="1:6" ht="15.75" customHeight="1">
      <c r="A75" s="2860" t="s">
        <v>163</v>
      </c>
      <c r="B75" s="2861"/>
      <c r="C75" s="2860" t="s">
        <v>818</v>
      </c>
      <c r="D75" s="2857">
        <v>852031</v>
      </c>
      <c r="E75" s="2859">
        <v>852032</v>
      </c>
      <c r="F75" s="2868" t="s">
        <v>1433</v>
      </c>
    </row>
    <row r="76" spans="1:6" ht="45" customHeight="1">
      <c r="A76" s="2862"/>
      <c r="B76" s="2863"/>
      <c r="C76" s="2871"/>
      <c r="D76" s="2858"/>
      <c r="E76" s="2859"/>
      <c r="F76" s="2868"/>
    </row>
    <row r="77" spans="1:6" ht="15.75" customHeight="1">
      <c r="A77" s="2864"/>
      <c r="B77" s="2865"/>
      <c r="C77" s="1457" t="s">
        <v>929</v>
      </c>
      <c r="D77" s="1458" t="s">
        <v>922</v>
      </c>
      <c r="E77" s="1458" t="s">
        <v>922</v>
      </c>
      <c r="F77" s="1458" t="s">
        <v>922</v>
      </c>
    </row>
    <row r="78" spans="1:6" ht="15.75" customHeight="1">
      <c r="A78" s="4" t="s">
        <v>821</v>
      </c>
      <c r="B78" s="4" t="s">
        <v>822</v>
      </c>
      <c r="C78" s="1459" t="s">
        <v>511</v>
      </c>
      <c r="D78" s="2872" t="s">
        <v>930</v>
      </c>
      <c r="E78" s="2873"/>
      <c r="F78" s="2874"/>
    </row>
    <row r="79" spans="1:6" ht="15.75" customHeight="1">
      <c r="A79" s="1464">
        <v>5411</v>
      </c>
      <c r="B79" s="1464">
        <v>5412</v>
      </c>
      <c r="C79" s="1464" t="s">
        <v>1637</v>
      </c>
      <c r="D79" s="1504"/>
      <c r="E79" s="1504"/>
      <c r="F79" s="340">
        <f aca="true" t="shared" si="0" ref="F79:F89">SUM(D79:E79)</f>
        <v>0</v>
      </c>
    </row>
    <row r="80" spans="1:6" ht="15.75" customHeight="1">
      <c r="A80" s="38">
        <v>5421</v>
      </c>
      <c r="B80" s="38">
        <v>5422</v>
      </c>
      <c r="C80" s="1464" t="s">
        <v>2083</v>
      </c>
      <c r="D80" s="300"/>
      <c r="E80" s="628"/>
      <c r="F80" s="340">
        <f t="shared" si="0"/>
        <v>0</v>
      </c>
    </row>
    <row r="81" spans="1:6" ht="15.75" customHeight="1">
      <c r="A81" s="38">
        <v>5431</v>
      </c>
      <c r="B81" s="38">
        <v>5432</v>
      </c>
      <c r="C81" s="1462" t="s">
        <v>1472</v>
      </c>
      <c r="D81" s="300">
        <v>40</v>
      </c>
      <c r="E81" s="300">
        <v>30</v>
      </c>
      <c r="F81" s="340">
        <f t="shared" si="0"/>
        <v>70</v>
      </c>
    </row>
    <row r="82" spans="1:6" ht="15.75" customHeight="1">
      <c r="A82" s="38">
        <v>5441</v>
      </c>
      <c r="B82" s="38">
        <v>5442</v>
      </c>
      <c r="C82" s="1462" t="s">
        <v>1473</v>
      </c>
      <c r="D82" s="300">
        <v>10</v>
      </c>
      <c r="E82" s="628"/>
      <c r="F82" s="340">
        <f t="shared" si="0"/>
        <v>10</v>
      </c>
    </row>
    <row r="83" spans="1:6" ht="15.75" customHeight="1">
      <c r="A83" s="1464">
        <v>54412</v>
      </c>
      <c r="B83" s="1464">
        <v>54422</v>
      </c>
      <c r="C83" s="1462" t="s">
        <v>1638</v>
      </c>
      <c r="D83" s="300"/>
      <c r="E83" s="1504"/>
      <c r="F83" s="340">
        <f t="shared" si="0"/>
        <v>0</v>
      </c>
    </row>
    <row r="84" spans="1:6" ht="15.75" customHeight="1">
      <c r="A84" s="1464">
        <v>5451</v>
      </c>
      <c r="B84" s="1464">
        <v>5452</v>
      </c>
      <c r="C84" s="1462" t="s">
        <v>1639</v>
      </c>
      <c r="D84" s="300"/>
      <c r="E84" s="1504"/>
      <c r="F84" s="340">
        <f t="shared" si="0"/>
        <v>0</v>
      </c>
    </row>
    <row r="85" spans="1:6" ht="15.75" customHeight="1">
      <c r="A85" s="1464">
        <v>5461</v>
      </c>
      <c r="B85" s="1464">
        <v>5462</v>
      </c>
      <c r="C85" s="1462" t="s">
        <v>1640</v>
      </c>
      <c r="D85" s="300"/>
      <c r="E85" s="1504"/>
      <c r="F85" s="340">
        <f t="shared" si="0"/>
        <v>0</v>
      </c>
    </row>
    <row r="86" spans="1:6" ht="15.75" customHeight="1">
      <c r="A86" s="1464">
        <v>54711</v>
      </c>
      <c r="B86" s="1464">
        <v>54721</v>
      </c>
      <c r="C86" s="1462" t="s">
        <v>1641</v>
      </c>
      <c r="D86" s="300">
        <v>30</v>
      </c>
      <c r="E86" s="1504">
        <v>20</v>
      </c>
      <c r="F86" s="340">
        <f t="shared" si="0"/>
        <v>50</v>
      </c>
    </row>
    <row r="87" spans="1:6" ht="15.75" customHeight="1">
      <c r="A87" s="38">
        <v>54712</v>
      </c>
      <c r="B87" s="38">
        <v>54722</v>
      </c>
      <c r="C87" s="1462" t="s">
        <v>1642</v>
      </c>
      <c r="D87" s="300"/>
      <c r="E87" s="628"/>
      <c r="F87" s="340">
        <f t="shared" si="0"/>
        <v>0</v>
      </c>
    </row>
    <row r="88" spans="1:6" ht="15.75" customHeight="1">
      <c r="A88" s="38">
        <v>5481</v>
      </c>
      <c r="B88" s="38">
        <v>5482</v>
      </c>
      <c r="C88" s="1462" t="s">
        <v>1273</v>
      </c>
      <c r="D88" s="300"/>
      <c r="E88" s="628"/>
      <c r="F88" s="340">
        <f t="shared" si="0"/>
        <v>0</v>
      </c>
    </row>
    <row r="89" spans="1:6" ht="15.75" customHeight="1">
      <c r="A89" s="38">
        <v>5491</v>
      </c>
      <c r="B89" s="38">
        <v>5492</v>
      </c>
      <c r="C89" s="1462" t="s">
        <v>847</v>
      </c>
      <c r="D89" s="300">
        <v>30</v>
      </c>
      <c r="E89" s="300">
        <v>20</v>
      </c>
      <c r="F89" s="340">
        <f t="shared" si="0"/>
        <v>50</v>
      </c>
    </row>
    <row r="90" spans="1:6" ht="15.75" customHeight="1">
      <c r="A90" s="1464"/>
      <c r="B90" s="1464"/>
      <c r="C90" s="1462"/>
      <c r="D90" s="1504"/>
      <c r="E90" s="1504"/>
      <c r="F90" s="6"/>
    </row>
    <row r="91" spans="1:6" ht="15.75" customHeight="1">
      <c r="A91" s="38">
        <v>54</v>
      </c>
      <c r="B91" s="1505"/>
      <c r="C91" s="37" t="s">
        <v>1643</v>
      </c>
      <c r="D91" s="628">
        <f>SUM(D79:D89)</f>
        <v>110</v>
      </c>
      <c r="E91" s="628">
        <f>SUM(E79:E89)</f>
        <v>70</v>
      </c>
      <c r="F91" s="340">
        <f>SUM(D91:E91)</f>
        <v>180</v>
      </c>
    </row>
    <row r="92" spans="1:6" ht="15.75" customHeight="1">
      <c r="A92" s="38"/>
      <c r="B92" s="1467"/>
      <c r="C92" s="37"/>
      <c r="D92" s="628"/>
      <c r="E92" s="628"/>
      <c r="F92" s="6"/>
    </row>
    <row r="93" spans="1:6" ht="15.75" customHeight="1">
      <c r="A93" s="38">
        <v>55111</v>
      </c>
      <c r="B93" s="38">
        <v>55211</v>
      </c>
      <c r="C93" s="106" t="s">
        <v>1392</v>
      </c>
      <c r="D93" s="300"/>
      <c r="E93" s="628"/>
      <c r="F93" s="340">
        <f aca="true" t="shared" si="1" ref="F93:F104">SUM(D93:E93)</f>
        <v>0</v>
      </c>
    </row>
    <row r="94" spans="1:6" ht="15.75" customHeight="1">
      <c r="A94" s="550">
        <v>55119</v>
      </c>
      <c r="B94" s="1464">
        <v>55129</v>
      </c>
      <c r="C94" s="106" t="s">
        <v>1644</v>
      </c>
      <c r="D94" s="300"/>
      <c r="E94" s="300"/>
      <c r="F94" s="340">
        <f t="shared" si="1"/>
        <v>0</v>
      </c>
    </row>
    <row r="95" spans="1:6" ht="15.75" customHeight="1">
      <c r="A95" s="550"/>
      <c r="B95" s="1464"/>
      <c r="C95" s="106"/>
      <c r="D95" s="300"/>
      <c r="E95" s="300"/>
      <c r="F95" s="340">
        <f t="shared" si="1"/>
        <v>0</v>
      </c>
    </row>
    <row r="96" spans="1:6" ht="15.75" customHeight="1">
      <c r="A96" s="550"/>
      <c r="B96" s="1464"/>
      <c r="C96" s="37" t="s">
        <v>1645</v>
      </c>
      <c r="D96" s="628">
        <f>SUM(D93:D95)</f>
        <v>0</v>
      </c>
      <c r="E96" s="300"/>
      <c r="F96" s="340">
        <f t="shared" si="1"/>
        <v>0</v>
      </c>
    </row>
    <row r="97" spans="1:6" ht="15.75" customHeight="1">
      <c r="A97" s="550"/>
      <c r="B97" s="1464"/>
      <c r="C97" s="106"/>
      <c r="D97" s="300"/>
      <c r="E97" s="300"/>
      <c r="F97" s="340">
        <f t="shared" si="1"/>
        <v>0</v>
      </c>
    </row>
    <row r="98" spans="1:6" ht="15.75" customHeight="1">
      <c r="A98" s="1470">
        <v>55213</v>
      </c>
      <c r="B98" s="1470">
        <v>55223</v>
      </c>
      <c r="C98" s="1506" t="s">
        <v>1902</v>
      </c>
      <c r="D98" s="1507">
        <v>100</v>
      </c>
      <c r="E98" s="1507"/>
      <c r="F98" s="340">
        <f t="shared" si="1"/>
        <v>100</v>
      </c>
    </row>
    <row r="99" spans="1:6" ht="15.75" customHeight="1">
      <c r="A99" s="663">
        <v>55214</v>
      </c>
      <c r="B99" s="663">
        <v>55224</v>
      </c>
      <c r="C99" s="1506" t="s">
        <v>1646</v>
      </c>
      <c r="D99" s="1507"/>
      <c r="E99" s="1508">
        <v>60</v>
      </c>
      <c r="F99" s="340">
        <f t="shared" si="1"/>
        <v>60</v>
      </c>
    </row>
    <row r="100" spans="1:6" ht="15.75" customHeight="1">
      <c r="A100" s="663">
        <v>55215</v>
      </c>
      <c r="B100" s="663">
        <v>55225</v>
      </c>
      <c r="C100" s="1506" t="s">
        <v>1647</v>
      </c>
      <c r="D100" s="1504">
        <v>50</v>
      </c>
      <c r="E100" s="300">
        <v>40</v>
      </c>
      <c r="F100" s="340">
        <f t="shared" si="1"/>
        <v>90</v>
      </c>
    </row>
    <row r="101" spans="1:6" ht="15.75" customHeight="1">
      <c r="A101" s="1470">
        <v>55216</v>
      </c>
      <c r="B101" s="1470">
        <v>55226</v>
      </c>
      <c r="C101" s="1506" t="s">
        <v>1648</v>
      </c>
      <c r="D101" s="1504">
        <v>0</v>
      </c>
      <c r="E101" s="300"/>
      <c r="F101" s="340">
        <f t="shared" si="1"/>
        <v>0</v>
      </c>
    </row>
    <row r="102" spans="1:6" ht="15.75" customHeight="1">
      <c r="A102" s="663">
        <v>55217</v>
      </c>
      <c r="B102" s="663">
        <v>55227</v>
      </c>
      <c r="C102" s="1506" t="s">
        <v>1649</v>
      </c>
      <c r="D102" s="300">
        <v>15</v>
      </c>
      <c r="E102" s="300">
        <v>10</v>
      </c>
      <c r="F102" s="340">
        <f t="shared" si="1"/>
        <v>25</v>
      </c>
    </row>
    <row r="103" spans="1:6" ht="15.75" customHeight="1">
      <c r="A103" s="1470">
        <v>55218</v>
      </c>
      <c r="B103" s="1470">
        <v>55228</v>
      </c>
      <c r="C103" s="1506" t="s">
        <v>1650</v>
      </c>
      <c r="D103" s="1504">
        <v>30</v>
      </c>
      <c r="E103" s="300">
        <v>20</v>
      </c>
      <c r="F103" s="340">
        <f t="shared" si="1"/>
        <v>50</v>
      </c>
    </row>
    <row r="104" spans="1:6" ht="15.75" customHeight="1">
      <c r="A104" s="663">
        <v>55219</v>
      </c>
      <c r="B104" s="663">
        <v>55229</v>
      </c>
      <c r="C104" s="1506" t="s">
        <v>1651</v>
      </c>
      <c r="D104" s="300">
        <v>50</v>
      </c>
      <c r="E104" s="300">
        <v>20</v>
      </c>
      <c r="F104" s="340">
        <f t="shared" si="1"/>
        <v>70</v>
      </c>
    </row>
    <row r="105" spans="1:6" ht="15.75" customHeight="1">
      <c r="A105" s="1470"/>
      <c r="B105" s="1470"/>
      <c r="C105" s="1506"/>
      <c r="D105" s="1504"/>
      <c r="E105" s="1504"/>
      <c r="F105" s="6"/>
    </row>
    <row r="106" spans="1:6" ht="15.75" customHeight="1">
      <c r="A106" s="663">
        <v>55</v>
      </c>
      <c r="B106" s="1509"/>
      <c r="C106" s="1510" t="s">
        <v>1652</v>
      </c>
      <c r="D106" s="628">
        <f>SUM(D93:D105)</f>
        <v>245</v>
      </c>
      <c r="E106" s="628">
        <f>SUM(E93:E105)</f>
        <v>150</v>
      </c>
      <c r="F106" s="340">
        <f>SUM(D106:E106)</f>
        <v>395</v>
      </c>
    </row>
    <row r="107" spans="1:6" ht="15.75" customHeight="1">
      <c r="A107" s="663"/>
      <c r="B107" s="1511"/>
      <c r="C107" s="1510"/>
      <c r="D107" s="628"/>
      <c r="E107" s="628"/>
      <c r="F107" s="6"/>
    </row>
    <row r="108" spans="1:6" ht="15.75" customHeight="1">
      <c r="A108" s="662">
        <v>5531</v>
      </c>
      <c r="B108" s="662">
        <v>5532</v>
      </c>
      <c r="C108" s="1512" t="s">
        <v>1653</v>
      </c>
      <c r="D108" s="300"/>
      <c r="E108" s="300">
        <v>0</v>
      </c>
      <c r="F108" s="340">
        <f>SUM(D108:E108)</f>
        <v>0</v>
      </c>
    </row>
    <row r="109" spans="1:6" ht="15.75" customHeight="1">
      <c r="A109" s="663"/>
      <c r="B109" s="1511"/>
      <c r="C109" s="1510"/>
      <c r="D109" s="628"/>
      <c r="E109" s="628"/>
      <c r="F109" s="6"/>
    </row>
    <row r="110" spans="1:8" ht="15.75" customHeight="1">
      <c r="A110" s="1468">
        <v>56111</v>
      </c>
      <c r="B110" s="1468">
        <v>56121</v>
      </c>
      <c r="C110" s="1513" t="s">
        <v>1654</v>
      </c>
      <c r="D110" s="1508">
        <v>89</v>
      </c>
      <c r="E110" s="1508">
        <v>59</v>
      </c>
      <c r="F110" s="340">
        <f aca="true" t="shared" si="2" ref="F110:F117">SUM(D110:E110)</f>
        <v>148</v>
      </c>
      <c r="H110" s="7">
        <f>F91+F106</f>
        <v>575</v>
      </c>
    </row>
    <row r="111" spans="1:6" ht="15.75" customHeight="1">
      <c r="A111" s="1475">
        <v>56112</v>
      </c>
      <c r="B111" s="1475">
        <v>56122</v>
      </c>
      <c r="C111" s="1513" t="s">
        <v>1655</v>
      </c>
      <c r="D111" s="1507">
        <v>0</v>
      </c>
      <c r="E111" s="1507">
        <v>0</v>
      </c>
      <c r="F111" s="340">
        <f t="shared" si="2"/>
        <v>0</v>
      </c>
    </row>
    <row r="112" spans="1:6" ht="15.75" customHeight="1">
      <c r="A112" s="38">
        <v>56211</v>
      </c>
      <c r="B112" s="38">
        <v>56221</v>
      </c>
      <c r="C112" s="1506" t="s">
        <v>1400</v>
      </c>
      <c r="D112" s="1508">
        <v>120</v>
      </c>
      <c r="E112" s="1514"/>
      <c r="F112" s="340">
        <f t="shared" si="2"/>
        <v>120</v>
      </c>
    </row>
    <row r="113" spans="1:6" ht="15.75" customHeight="1">
      <c r="A113" s="38">
        <v>56213</v>
      </c>
      <c r="B113" s="38">
        <v>56223</v>
      </c>
      <c r="C113" s="1506" t="s">
        <v>1401</v>
      </c>
      <c r="D113" s="1508"/>
      <c r="E113" s="1514"/>
      <c r="F113" s="340">
        <f t="shared" si="2"/>
        <v>0</v>
      </c>
    </row>
    <row r="114" spans="1:6" ht="15.75" customHeight="1">
      <c r="A114" s="1464">
        <v>56317</v>
      </c>
      <c r="B114" s="1464">
        <v>56327</v>
      </c>
      <c r="C114" s="1506" t="s">
        <v>1656</v>
      </c>
      <c r="D114" s="1504"/>
      <c r="E114" s="1504"/>
      <c r="F114" s="340">
        <f t="shared" si="2"/>
        <v>0</v>
      </c>
    </row>
    <row r="115" spans="1:6" ht="15.75" customHeight="1">
      <c r="A115" s="1464">
        <v>5641</v>
      </c>
      <c r="B115" s="1464">
        <v>5642</v>
      </c>
      <c r="C115" s="1515" t="s">
        <v>1657</v>
      </c>
      <c r="D115" s="1504"/>
      <c r="E115" s="1504">
        <v>396</v>
      </c>
      <c r="F115" s="340">
        <f t="shared" si="2"/>
        <v>396</v>
      </c>
    </row>
    <row r="116" spans="1:6" ht="15.75" customHeight="1">
      <c r="A116" s="1464"/>
      <c r="B116" s="1464"/>
      <c r="C116" s="1506" t="s">
        <v>1658</v>
      </c>
      <c r="D116" s="1504"/>
      <c r="E116" s="1504"/>
      <c r="F116" s="340">
        <f t="shared" si="2"/>
        <v>0</v>
      </c>
    </row>
    <row r="117" spans="1:6" ht="15.75" customHeight="1">
      <c r="A117" s="38">
        <v>56</v>
      </c>
      <c r="B117" s="38"/>
      <c r="C117" s="1510" t="s">
        <v>1659</v>
      </c>
      <c r="D117" s="628">
        <f>SUM(D110:D116)</f>
        <v>209</v>
      </c>
      <c r="E117" s="628">
        <f>SUM(E110:E116)</f>
        <v>455</v>
      </c>
      <c r="F117" s="340">
        <f t="shared" si="2"/>
        <v>664</v>
      </c>
    </row>
    <row r="118" spans="1:6" ht="15.75" customHeight="1">
      <c r="A118" s="38"/>
      <c r="B118" s="1464"/>
      <c r="C118" s="1510"/>
      <c r="D118" s="628"/>
      <c r="E118" s="628"/>
      <c r="F118" s="6"/>
    </row>
    <row r="119" spans="1:6" ht="15.75" customHeight="1">
      <c r="A119" s="1489">
        <v>57119</v>
      </c>
      <c r="B119" s="1489">
        <v>57129</v>
      </c>
      <c r="C119" s="1506" t="s">
        <v>1660</v>
      </c>
      <c r="D119" s="1508"/>
      <c r="E119" s="1514"/>
      <c r="F119" s="6"/>
    </row>
    <row r="120" spans="1:6" ht="15.75" customHeight="1">
      <c r="A120" s="1464">
        <v>57211</v>
      </c>
      <c r="B120" s="1464">
        <v>57221</v>
      </c>
      <c r="C120" s="1506" t="s">
        <v>1661</v>
      </c>
      <c r="D120" s="1504"/>
      <c r="E120" s="1504"/>
      <c r="F120" s="6"/>
    </row>
    <row r="121" spans="1:6" ht="15.75" customHeight="1">
      <c r="A121" s="1516">
        <v>57213</v>
      </c>
      <c r="B121" s="1516">
        <v>57223</v>
      </c>
      <c r="C121" s="1517" t="s">
        <v>1662</v>
      </c>
      <c r="D121" s="1518">
        <v>289</v>
      </c>
      <c r="E121" s="1518">
        <v>97</v>
      </c>
      <c r="F121" s="340">
        <f>SUM(D121:E121)</f>
        <v>386</v>
      </c>
    </row>
    <row r="122" spans="1:6" ht="15.75" customHeight="1">
      <c r="A122" s="1516"/>
      <c r="B122" s="1516"/>
      <c r="C122" s="1506"/>
      <c r="D122" s="1518"/>
      <c r="E122" s="1518"/>
      <c r="F122" s="6"/>
    </row>
    <row r="123" spans="1:6" ht="15.75" customHeight="1">
      <c r="A123" s="38">
        <v>57</v>
      </c>
      <c r="B123" s="37"/>
      <c r="C123" s="37" t="s">
        <v>1663</v>
      </c>
      <c r="D123" s="628">
        <f>SUM(D119:D121)</f>
        <v>289</v>
      </c>
      <c r="E123" s="628">
        <f>SUM(E119:E121)</f>
        <v>97</v>
      </c>
      <c r="F123" s="340">
        <f>SUM(D123:E123)</f>
        <v>386</v>
      </c>
    </row>
    <row r="124" spans="1:6" ht="15.75" customHeight="1">
      <c r="A124" s="38"/>
      <c r="B124" s="37"/>
      <c r="C124" s="37"/>
      <c r="D124" s="1519"/>
      <c r="E124" s="1519"/>
      <c r="F124" s="6"/>
    </row>
    <row r="125" spans="1:6" ht="15.75" customHeight="1">
      <c r="A125" s="38"/>
      <c r="B125" s="37"/>
      <c r="C125" s="37" t="s">
        <v>1664</v>
      </c>
      <c r="D125" s="628">
        <f>D91+D106+D117+D123</f>
        <v>853</v>
      </c>
      <c r="E125" s="628">
        <f>E91+E106+E117+E123</f>
        <v>772</v>
      </c>
      <c r="F125" s="340">
        <f>SUM(D125:E125)</f>
        <v>1625</v>
      </c>
    </row>
    <row r="126" spans="1:6" ht="15.75" customHeight="1">
      <c r="A126" s="38"/>
      <c r="B126" s="37"/>
      <c r="C126" s="37"/>
      <c r="D126" s="1519"/>
      <c r="E126" s="1519"/>
      <c r="F126" s="6"/>
    </row>
    <row r="127" spans="1:6" ht="15.75" customHeight="1">
      <c r="A127" s="38">
        <v>58</v>
      </c>
      <c r="B127" s="37"/>
      <c r="C127" s="37" t="s">
        <v>1665</v>
      </c>
      <c r="D127" s="1519"/>
      <c r="E127" s="1519"/>
      <c r="F127" s="6"/>
    </row>
    <row r="128" spans="1:5" ht="15.75" customHeight="1">
      <c r="A128" s="1479"/>
      <c r="B128" s="1520"/>
      <c r="C128" s="1520"/>
      <c r="D128" s="1521"/>
      <c r="E128" s="1521"/>
    </row>
    <row r="129" spans="1:6" ht="18.75" customHeight="1">
      <c r="A129" s="1522"/>
      <c r="B129" s="37"/>
      <c r="C129" s="37" t="s">
        <v>1097</v>
      </c>
      <c r="D129" s="1519">
        <f>D59+D64+D125+D127</f>
        <v>22576.31</v>
      </c>
      <c r="E129" s="1519">
        <f>E59+E64+E125+E127</f>
        <v>6597.91</v>
      </c>
      <c r="F129" s="182">
        <f>F67+F125</f>
        <v>29174.22</v>
      </c>
    </row>
    <row r="130" spans="1:4" ht="15.75" customHeight="1">
      <c r="A130" s="1479"/>
      <c r="B130" s="1520"/>
      <c r="C130" s="1520"/>
      <c r="D130" s="1523"/>
    </row>
    <row r="131" spans="1:4" ht="15.75" customHeight="1">
      <c r="A131" s="2866" t="s">
        <v>1098</v>
      </c>
      <c r="B131" s="2546"/>
      <c r="C131" s="2546"/>
      <c r="D131" s="1498"/>
    </row>
    <row r="132" spans="1:4" ht="15.75" customHeight="1">
      <c r="A132" s="2855" t="s">
        <v>1099</v>
      </c>
      <c r="B132" s="2546"/>
      <c r="C132" s="2546"/>
      <c r="D132" s="1524"/>
    </row>
    <row r="133" spans="1:4" ht="15.75" customHeight="1">
      <c r="A133" s="1496"/>
      <c r="B133" s="1496"/>
      <c r="C133" s="1525"/>
      <c r="D133" s="1524"/>
    </row>
    <row r="134" spans="1:4" ht="15.75" customHeight="1">
      <c r="A134" s="1496"/>
      <c r="B134" s="1496"/>
      <c r="C134" s="1525"/>
      <c r="D134" s="1524"/>
    </row>
    <row r="135" spans="1:4" ht="15.75" customHeight="1">
      <c r="A135" s="1496"/>
      <c r="B135" s="1496"/>
      <c r="C135" s="1525"/>
      <c r="D135" s="1524"/>
    </row>
    <row r="136" spans="1:4" ht="15.75" customHeight="1">
      <c r="A136" s="1496"/>
      <c r="B136" s="1496"/>
      <c r="C136" s="1525"/>
      <c r="D136" s="1524"/>
    </row>
    <row r="137" spans="1:5" ht="15.75" customHeight="1">
      <c r="A137" s="2856" t="s">
        <v>1100</v>
      </c>
      <c r="B137" s="2546"/>
      <c r="C137" s="2546"/>
      <c r="D137" s="2546"/>
      <c r="E137" s="2546"/>
    </row>
    <row r="138" spans="1:5" ht="15.75" customHeight="1">
      <c r="A138" s="1526"/>
      <c r="B138" s="417"/>
      <c r="C138" s="417"/>
      <c r="D138" s="417"/>
      <c r="E138" s="417"/>
    </row>
    <row r="139" spans="1:5" ht="15.75" customHeight="1">
      <c r="A139" s="1526"/>
      <c r="B139" s="417"/>
      <c r="C139" s="417"/>
      <c r="D139" s="417"/>
      <c r="E139" s="417"/>
    </row>
    <row r="140" spans="1:5" ht="15.75" customHeight="1">
      <c r="A140" s="1527"/>
      <c r="B140" s="1527"/>
      <c r="C140" s="1527"/>
      <c r="D140" s="1528"/>
      <c r="E140" s="1529"/>
    </row>
    <row r="141" spans="1:6" ht="15.75" customHeight="1">
      <c r="A141" s="2860" t="s">
        <v>163</v>
      </c>
      <c r="B141" s="2861"/>
      <c r="C141" s="2860" t="s">
        <v>818</v>
      </c>
      <c r="D141" s="2857">
        <v>852031</v>
      </c>
      <c r="E141" s="2859">
        <v>852032</v>
      </c>
      <c r="F141" s="2868" t="s">
        <v>1433</v>
      </c>
    </row>
    <row r="142" spans="1:6" ht="15.75" customHeight="1">
      <c r="A142" s="2862"/>
      <c r="B142" s="2863"/>
      <c r="C142" s="2862"/>
      <c r="D142" s="2858"/>
      <c r="E142" s="2859"/>
      <c r="F142" s="2868"/>
    </row>
    <row r="143" spans="1:6" ht="15.75" customHeight="1">
      <c r="A143" s="2864"/>
      <c r="B143" s="2865"/>
      <c r="C143" s="1456"/>
      <c r="D143" s="1458" t="s">
        <v>922</v>
      </c>
      <c r="E143" s="1458" t="s">
        <v>922</v>
      </c>
      <c r="F143" s="1458" t="s">
        <v>922</v>
      </c>
    </row>
    <row r="144" spans="1:6" ht="15.75" customHeight="1">
      <c r="A144" s="1530"/>
      <c r="B144" s="1530"/>
      <c r="C144" s="1530"/>
      <c r="D144" s="1530"/>
      <c r="E144" s="1530"/>
      <c r="F144" s="1531"/>
    </row>
    <row r="145" spans="1:6" ht="19.5" customHeight="1">
      <c r="A145" s="1462">
        <v>91311</v>
      </c>
      <c r="B145" s="1462">
        <v>91321</v>
      </c>
      <c r="C145" s="1462" t="s">
        <v>1101</v>
      </c>
      <c r="D145" s="1531"/>
      <c r="E145" s="1531"/>
      <c r="F145" s="1531"/>
    </row>
    <row r="146" spans="1:6" ht="19.5" customHeight="1">
      <c r="A146" s="1462"/>
      <c r="B146" s="1462"/>
      <c r="C146" s="1532" t="s">
        <v>1102</v>
      </c>
      <c r="D146" s="1531"/>
      <c r="E146" s="1531"/>
      <c r="F146" s="1531"/>
    </row>
    <row r="147" spans="1:6" ht="19.5" customHeight="1">
      <c r="A147" s="1462">
        <v>91312</v>
      </c>
      <c r="B147" s="1462">
        <v>91322</v>
      </c>
      <c r="C147" s="1462" t="s">
        <v>1103</v>
      </c>
      <c r="D147" s="1531">
        <v>155</v>
      </c>
      <c r="E147" s="1531">
        <v>102</v>
      </c>
      <c r="F147" s="1531">
        <f>D147+E147</f>
        <v>257</v>
      </c>
    </row>
    <row r="148" spans="1:6" ht="31.5" customHeight="1">
      <c r="A148" s="1462"/>
      <c r="B148" s="1462"/>
      <c r="C148" s="1533" t="s">
        <v>1104</v>
      </c>
      <c r="D148" s="1531"/>
      <c r="E148" s="1531"/>
      <c r="F148" s="1531">
        <f aca="true" t="shared" si="3" ref="F148:F153">D148+E148</f>
        <v>0</v>
      </c>
    </row>
    <row r="149" spans="1:6" ht="19.5" customHeight="1">
      <c r="A149" s="1462">
        <v>91313</v>
      </c>
      <c r="B149" s="1462">
        <v>91323</v>
      </c>
      <c r="C149" s="1462" t="s">
        <v>1105</v>
      </c>
      <c r="D149" s="1531"/>
      <c r="E149" s="1531"/>
      <c r="F149" s="1531">
        <f t="shared" si="3"/>
        <v>0</v>
      </c>
    </row>
    <row r="150" spans="1:6" ht="19.5" customHeight="1">
      <c r="A150" s="1462"/>
      <c r="B150" s="1462"/>
      <c r="C150" s="1462" t="s">
        <v>1106</v>
      </c>
      <c r="D150" s="1531"/>
      <c r="E150" s="1531"/>
      <c r="F150" s="1531">
        <f t="shared" si="3"/>
        <v>0</v>
      </c>
    </row>
    <row r="151" spans="1:6" ht="19.5" customHeight="1">
      <c r="A151" s="1462"/>
      <c r="B151" s="37" t="s">
        <v>1107</v>
      </c>
      <c r="C151" s="37"/>
      <c r="D151" s="1531"/>
      <c r="E151" s="1531"/>
      <c r="F151" s="1531">
        <f t="shared" si="3"/>
        <v>0</v>
      </c>
    </row>
    <row r="152" spans="1:6" ht="19.5" customHeight="1">
      <c r="A152" s="38"/>
      <c r="B152" s="37"/>
      <c r="C152" s="1462"/>
      <c r="D152" s="1531"/>
      <c r="E152" s="1531"/>
      <c r="F152" s="1531">
        <f t="shared" si="3"/>
        <v>0</v>
      </c>
    </row>
    <row r="153" spans="1:6" ht="19.5" customHeight="1">
      <c r="A153" s="1462"/>
      <c r="B153" s="37" t="s">
        <v>1382</v>
      </c>
      <c r="C153" s="1462"/>
      <c r="D153" s="1531">
        <f>SUM(D147:D152)</f>
        <v>155</v>
      </c>
      <c r="E153" s="1531">
        <f>SUM(E147:E152)</f>
        <v>102</v>
      </c>
      <c r="F153" s="182">
        <f t="shared" si="3"/>
        <v>257</v>
      </c>
    </row>
    <row r="156" spans="1:3" ht="15.75">
      <c r="A156" s="2866" t="s">
        <v>1098</v>
      </c>
      <c r="B156" s="2546"/>
      <c r="C156" s="2546"/>
    </row>
    <row r="157" spans="1:3" ht="15">
      <c r="A157" s="2855" t="s">
        <v>1099</v>
      </c>
      <c r="B157" s="2546"/>
      <c r="C157" s="2546"/>
    </row>
  </sheetData>
  <sheetProtection/>
  <mergeCells count="38">
    <mergeCell ref="A1:C1"/>
    <mergeCell ref="A6:B7"/>
    <mergeCell ref="C6:C7"/>
    <mergeCell ref="A5:D5"/>
    <mergeCell ref="A3:D3"/>
    <mergeCell ref="D6:D7"/>
    <mergeCell ref="A2:G2"/>
    <mergeCell ref="A4:G4"/>
    <mergeCell ref="F6:F7"/>
    <mergeCell ref="G6:G7"/>
    <mergeCell ref="A131:C131"/>
    <mergeCell ref="E6:E7"/>
    <mergeCell ref="A69:G69"/>
    <mergeCell ref="A8:B8"/>
    <mergeCell ref="D9:F9"/>
    <mergeCell ref="A67:C67"/>
    <mergeCell ref="D78:F78"/>
    <mergeCell ref="A77:B77"/>
    <mergeCell ref="E75:E76"/>
    <mergeCell ref="F75:F76"/>
    <mergeCell ref="A70:D70"/>
    <mergeCell ref="A66:G66"/>
    <mergeCell ref="F141:F142"/>
    <mergeCell ref="A72:D72"/>
    <mergeCell ref="A71:G71"/>
    <mergeCell ref="A75:B76"/>
    <mergeCell ref="C75:C76"/>
    <mergeCell ref="D75:D76"/>
    <mergeCell ref="A132:C132"/>
    <mergeCell ref="A73:G73"/>
    <mergeCell ref="A157:C157"/>
    <mergeCell ref="A137:E137"/>
    <mergeCell ref="D141:D142"/>
    <mergeCell ref="E141:E142"/>
    <mergeCell ref="A141:B142"/>
    <mergeCell ref="C141:C142"/>
    <mergeCell ref="A143:B143"/>
    <mergeCell ref="A156:C156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geOrder="overThenDown" paperSize="9" scale="73" r:id="rId1"/>
  <headerFooter alignWithMargins="0">
    <oddHeader>&amp;LCsurgói Városi Iskolák és Óvodák
8840 Csurgó, Kossuth utca 3.</oddHeader>
    <oddFooter>&amp;R&amp;P</oddFooter>
  </headerFooter>
  <rowBreaks count="2" manualBreakCount="2">
    <brk id="67" max="6" man="1"/>
    <brk id="132" max="7" man="1"/>
  </rowBreaks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11"/>
  </sheetPr>
  <dimension ref="A1:M164"/>
  <sheetViews>
    <sheetView view="pageBreakPreview" zoomScaleSheetLayoutView="100" zoomScalePageLayoutView="0" workbookViewId="0" topLeftCell="A4">
      <selection activeCell="K16" sqref="K16"/>
    </sheetView>
  </sheetViews>
  <sheetFormatPr defaultColWidth="9.140625" defaultRowHeight="12.75"/>
  <cols>
    <col min="1" max="2" width="9.7109375" style="0" customWidth="1"/>
    <col min="3" max="3" width="51.57421875" style="0" customWidth="1"/>
    <col min="4" max="7" width="9.7109375" style="7" customWidth="1"/>
    <col min="8" max="8" width="9.7109375" style="0" customWidth="1"/>
  </cols>
  <sheetData>
    <row r="1" spans="1:4" ht="12" customHeight="1">
      <c r="A1" s="2866"/>
      <c r="B1" s="2866"/>
      <c r="C1" s="2866"/>
      <c r="D1" s="1451"/>
    </row>
    <row r="2" spans="1:9" ht="15.75">
      <c r="A2" s="2867" t="s">
        <v>1108</v>
      </c>
      <c r="B2" s="2546"/>
      <c r="C2" s="2546"/>
      <c r="D2" s="2546"/>
      <c r="E2" s="2546"/>
      <c r="F2" s="2546"/>
      <c r="G2" s="2546"/>
      <c r="H2" s="417"/>
      <c r="I2" s="417"/>
    </row>
    <row r="3" spans="1:4" ht="11.25" customHeight="1">
      <c r="A3" s="2867"/>
      <c r="B3" s="2867"/>
      <c r="C3" s="2867"/>
      <c r="D3" s="2397"/>
    </row>
    <row r="4" spans="1:9" ht="13.5" customHeight="1">
      <c r="A4" s="2869" t="s">
        <v>928</v>
      </c>
      <c r="B4" s="2546"/>
      <c r="C4" s="2546"/>
      <c r="D4" s="2546"/>
      <c r="E4" s="2546"/>
      <c r="F4" s="2546"/>
      <c r="G4" s="2546"/>
      <c r="H4" s="417"/>
      <c r="I4" s="417"/>
    </row>
    <row r="5" spans="1:4" ht="15.75">
      <c r="A5" s="2869"/>
      <c r="B5" s="2870"/>
      <c r="C5" s="2870"/>
      <c r="D5" s="2870"/>
    </row>
    <row r="6" spans="1:8" ht="12.75" customHeight="1">
      <c r="A6" s="2860" t="s">
        <v>163</v>
      </c>
      <c r="B6" s="2861"/>
      <c r="C6" s="2860" t="s">
        <v>818</v>
      </c>
      <c r="D6" s="2857">
        <v>852011</v>
      </c>
      <c r="E6" s="2859">
        <v>852021</v>
      </c>
      <c r="F6" s="2859">
        <v>855911</v>
      </c>
      <c r="G6" s="2868" t="s">
        <v>1433</v>
      </c>
      <c r="H6" s="2546"/>
    </row>
    <row r="7" spans="1:8" ht="18" customHeight="1">
      <c r="A7" s="2862"/>
      <c r="B7" s="2863"/>
      <c r="C7" s="2871"/>
      <c r="D7" s="2858"/>
      <c r="E7" s="2859"/>
      <c r="F7" s="2859"/>
      <c r="G7" s="2868"/>
      <c r="H7" s="2546"/>
    </row>
    <row r="8" spans="1:7" ht="15.75" customHeight="1">
      <c r="A8" s="2864"/>
      <c r="B8" s="2865"/>
      <c r="C8" s="1457" t="s">
        <v>929</v>
      </c>
      <c r="D8" s="1534" t="s">
        <v>1109</v>
      </c>
      <c r="E8" s="1534" t="s">
        <v>1109</v>
      </c>
      <c r="F8" s="1534" t="s">
        <v>1109</v>
      </c>
      <c r="G8" s="1534" t="s">
        <v>1109</v>
      </c>
    </row>
    <row r="9" spans="1:7" ht="15.75" customHeight="1">
      <c r="A9" s="4" t="s">
        <v>821</v>
      </c>
      <c r="B9" s="4" t="s">
        <v>822</v>
      </c>
      <c r="C9" s="1459" t="s">
        <v>511</v>
      </c>
      <c r="D9" s="2872" t="s">
        <v>930</v>
      </c>
      <c r="E9" s="2873"/>
      <c r="F9" s="2873"/>
      <c r="G9" s="2874"/>
    </row>
    <row r="10" spans="1:7" ht="15.75" customHeight="1">
      <c r="A10" s="5"/>
      <c r="B10" s="5"/>
      <c r="C10" s="1459"/>
      <c r="D10" s="1460"/>
      <c r="E10" s="1461"/>
      <c r="F10" s="1535"/>
      <c r="G10" s="1461"/>
    </row>
    <row r="11" spans="1:7" ht="15.75" customHeight="1">
      <c r="A11" s="1462"/>
      <c r="B11" s="1462"/>
      <c r="C11" s="1463" t="s">
        <v>931</v>
      </c>
      <c r="D11" s="1460"/>
      <c r="E11" s="1461"/>
      <c r="F11" s="1461"/>
      <c r="G11" s="1461"/>
    </row>
    <row r="12" spans="1:7" ht="15.75" customHeight="1">
      <c r="A12" s="1464">
        <v>511112</v>
      </c>
      <c r="B12" s="1464">
        <v>511212</v>
      </c>
      <c r="C12" s="1465" t="s">
        <v>932</v>
      </c>
      <c r="D12" s="1536">
        <v>7988</v>
      </c>
      <c r="E12" s="1531">
        <v>9725</v>
      </c>
      <c r="F12" s="1531">
        <v>1570</v>
      </c>
      <c r="G12" s="107">
        <f>SUM(D12:F12)</f>
        <v>19283</v>
      </c>
    </row>
    <row r="13" spans="1:7" ht="15.75" customHeight="1">
      <c r="A13" s="1467"/>
      <c r="B13" s="1467"/>
      <c r="C13" s="1475"/>
      <c r="D13" s="1504"/>
      <c r="E13" s="1531"/>
      <c r="F13" s="1531"/>
      <c r="G13" s="1531"/>
    </row>
    <row r="14" spans="1:7" ht="15.75" customHeight="1">
      <c r="A14" s="1470"/>
      <c r="B14" s="1470"/>
      <c r="C14" s="1470"/>
      <c r="D14" s="1537"/>
      <c r="E14" s="1531"/>
      <c r="F14" s="1531"/>
      <c r="G14" s="1531"/>
    </row>
    <row r="15" spans="1:7" ht="15.75" customHeight="1">
      <c r="A15" s="663">
        <v>511112</v>
      </c>
      <c r="B15" s="663">
        <v>511212</v>
      </c>
      <c r="C15" s="663" t="s">
        <v>934</v>
      </c>
      <c r="D15" s="1476">
        <f>D12+D13</f>
        <v>7988</v>
      </c>
      <c r="E15" s="1538">
        <f>E12+E13</f>
        <v>9725</v>
      </c>
      <c r="F15" s="1538">
        <f>F12+F13</f>
        <v>1570</v>
      </c>
      <c r="G15" s="1538">
        <f>SUM(D15:F15)</f>
        <v>19283</v>
      </c>
    </row>
    <row r="16" spans="1:7" ht="15.75" customHeight="1">
      <c r="A16" s="663"/>
      <c r="B16" s="663"/>
      <c r="C16" s="663"/>
      <c r="D16" s="1476"/>
      <c r="E16" s="1531"/>
      <c r="F16" s="1531"/>
      <c r="G16" s="1531"/>
    </row>
    <row r="17" spans="1:7" ht="15.75" customHeight="1">
      <c r="A17" s="662">
        <v>511142</v>
      </c>
      <c r="B17" s="1470">
        <v>511242</v>
      </c>
      <c r="C17" s="662" t="s">
        <v>935</v>
      </c>
      <c r="D17" s="1477"/>
      <c r="E17" s="1531"/>
      <c r="F17" s="1531"/>
      <c r="G17" s="1531"/>
    </row>
    <row r="18" spans="1:7" ht="15.75" customHeight="1">
      <c r="A18" s="662"/>
      <c r="B18" s="1470"/>
      <c r="C18" s="662" t="s">
        <v>936</v>
      </c>
      <c r="D18" s="1477"/>
      <c r="E18" s="1531">
        <v>408</v>
      </c>
      <c r="F18" s="1531"/>
      <c r="G18" s="107">
        <f>SUM(D18:F18)</f>
        <v>408</v>
      </c>
    </row>
    <row r="19" spans="1:7" ht="15.75" customHeight="1">
      <c r="A19" s="662"/>
      <c r="B19" s="1470"/>
      <c r="C19" s="662" t="s">
        <v>937</v>
      </c>
      <c r="D19" s="1537">
        <v>288</v>
      </c>
      <c r="E19" s="1531">
        <v>288</v>
      </c>
      <c r="F19" s="1531"/>
      <c r="G19" s="107">
        <f>SUM(D19:F19)</f>
        <v>576</v>
      </c>
    </row>
    <row r="20" spans="1:7" ht="15.75" customHeight="1">
      <c r="A20" s="1470"/>
      <c r="B20" s="1470"/>
      <c r="C20" s="1470" t="s">
        <v>938</v>
      </c>
      <c r="D20" s="1477"/>
      <c r="E20" s="1531">
        <v>72</v>
      </c>
      <c r="F20" s="1531"/>
      <c r="G20" s="107">
        <f>SUM(D20:F20)</f>
        <v>72</v>
      </c>
    </row>
    <row r="21" spans="1:7" ht="15.75" customHeight="1">
      <c r="A21" s="1470"/>
      <c r="B21" s="1470"/>
      <c r="C21" s="1470" t="s">
        <v>939</v>
      </c>
      <c r="D21" s="1477"/>
      <c r="E21" s="1531"/>
      <c r="F21" s="1531"/>
      <c r="G21" s="107"/>
    </row>
    <row r="22" spans="1:7" ht="15.75" customHeight="1">
      <c r="A22" s="1470"/>
      <c r="B22" s="1470"/>
      <c r="C22" s="1470" t="s">
        <v>940</v>
      </c>
      <c r="D22" s="1537">
        <v>72</v>
      </c>
      <c r="E22" s="1531">
        <v>72</v>
      </c>
      <c r="F22" s="1531"/>
      <c r="G22" s="107">
        <f>SUM(D22:F22)</f>
        <v>144</v>
      </c>
    </row>
    <row r="23" spans="1:7" ht="15.75" customHeight="1">
      <c r="A23" s="1470"/>
      <c r="B23" s="1470"/>
      <c r="C23" s="1470" t="s">
        <v>941</v>
      </c>
      <c r="D23" s="1537"/>
      <c r="E23" s="1531"/>
      <c r="F23" s="1531"/>
      <c r="G23" s="107"/>
    </row>
    <row r="24" spans="1:7" ht="15.75" customHeight="1">
      <c r="A24" s="1470"/>
      <c r="B24" s="1470"/>
      <c r="C24" s="1470" t="s">
        <v>942</v>
      </c>
      <c r="D24" s="1537">
        <v>173</v>
      </c>
      <c r="E24" s="1531">
        <v>173</v>
      </c>
      <c r="F24" s="1531">
        <v>43</v>
      </c>
      <c r="G24" s="107">
        <f>SUM(D24:F24)</f>
        <v>389</v>
      </c>
    </row>
    <row r="25" spans="1:7" ht="15.75" customHeight="1">
      <c r="A25" s="1470"/>
      <c r="B25" s="1470"/>
      <c r="C25" s="1470"/>
      <c r="D25" s="1537"/>
      <c r="E25" s="1531"/>
      <c r="F25" s="1531"/>
      <c r="G25" s="1531"/>
    </row>
    <row r="26" spans="1:7" ht="15.75" customHeight="1">
      <c r="A26" s="663">
        <v>511142</v>
      </c>
      <c r="B26" s="663">
        <v>511242</v>
      </c>
      <c r="C26" s="663" t="s">
        <v>943</v>
      </c>
      <c r="D26" s="1476">
        <f>SUM(D17:D25)</f>
        <v>533</v>
      </c>
      <c r="E26" s="1476">
        <f>SUM(E17:E25)</f>
        <v>1013</v>
      </c>
      <c r="F26" s="1476">
        <f>SUM(F17:F25)</f>
        <v>43</v>
      </c>
      <c r="G26" s="1538">
        <f>SUM(D26:F26)</f>
        <v>1589</v>
      </c>
    </row>
    <row r="27" spans="1:7" ht="15.75" customHeight="1">
      <c r="A27" s="1470"/>
      <c r="B27" s="1470"/>
      <c r="C27" s="663"/>
      <c r="D27" s="1476"/>
      <c r="E27" s="1531"/>
      <c r="F27" s="1531"/>
      <c r="G27" s="1531"/>
    </row>
    <row r="28" spans="1:7" ht="15.75" customHeight="1">
      <c r="A28" s="662">
        <v>512132</v>
      </c>
      <c r="B28" s="662">
        <v>512232</v>
      </c>
      <c r="C28" s="662" t="s">
        <v>944</v>
      </c>
      <c r="D28" s="1477">
        <v>223</v>
      </c>
      <c r="E28" s="107">
        <v>611</v>
      </c>
      <c r="F28" s="107"/>
      <c r="G28" s="107">
        <f>SUM(D28:F28)</f>
        <v>834</v>
      </c>
    </row>
    <row r="29" spans="1:7" ht="15.75" customHeight="1">
      <c r="A29" s="662"/>
      <c r="B29" s="662"/>
      <c r="C29" s="662"/>
      <c r="D29" s="1477"/>
      <c r="E29" s="107"/>
      <c r="F29" s="107"/>
      <c r="G29" s="107"/>
    </row>
    <row r="30" spans="1:7" ht="15.75" customHeight="1">
      <c r="A30" s="662">
        <v>512142</v>
      </c>
      <c r="B30" s="662">
        <v>512242</v>
      </c>
      <c r="C30" s="662" t="s">
        <v>945</v>
      </c>
      <c r="D30" s="1477">
        <v>108</v>
      </c>
      <c r="E30" s="107">
        <v>108</v>
      </c>
      <c r="F30" s="107">
        <v>0</v>
      </c>
      <c r="G30" s="107">
        <f>SUM(D30:F30)</f>
        <v>216</v>
      </c>
    </row>
    <row r="31" spans="1:7" ht="15.75" customHeight="1">
      <c r="A31" s="662"/>
      <c r="B31" s="662"/>
      <c r="C31" s="662"/>
      <c r="D31" s="1477"/>
      <c r="E31" s="107"/>
      <c r="F31" s="107"/>
      <c r="G31" s="107"/>
    </row>
    <row r="32" spans="1:7" ht="15.75" customHeight="1">
      <c r="A32" s="662">
        <v>512192</v>
      </c>
      <c r="B32" s="662">
        <v>512292</v>
      </c>
      <c r="C32" s="660" t="s">
        <v>1110</v>
      </c>
      <c r="D32" s="1477">
        <v>252</v>
      </c>
      <c r="E32" s="1477">
        <v>252</v>
      </c>
      <c r="F32" s="1477">
        <v>63</v>
      </c>
      <c r="G32" s="107">
        <f aca="true" t="shared" si="0" ref="G32:G40">SUM(D32:F32)</f>
        <v>567</v>
      </c>
    </row>
    <row r="33" spans="1:7" ht="15.75" customHeight="1">
      <c r="A33" s="663"/>
      <c r="B33" s="663"/>
      <c r="C33" s="1539"/>
      <c r="D33" s="1476"/>
      <c r="E33" s="1540"/>
      <c r="F33" s="1540"/>
      <c r="G33" s="1538"/>
    </row>
    <row r="34" spans="1:7" ht="15.75" customHeight="1">
      <c r="A34" s="663">
        <v>512</v>
      </c>
      <c r="B34" s="663">
        <v>512</v>
      </c>
      <c r="C34" s="1539" t="s">
        <v>1111</v>
      </c>
      <c r="D34" s="1476">
        <f>SUM(D28:D33)</f>
        <v>583</v>
      </c>
      <c r="E34" s="1476">
        <f>SUM(E28:E33)</f>
        <v>971</v>
      </c>
      <c r="F34" s="1476">
        <f>SUM(F28:F33)</f>
        <v>63</v>
      </c>
      <c r="G34" s="182">
        <f t="shared" si="0"/>
        <v>1617</v>
      </c>
    </row>
    <row r="35" spans="1:7" ht="15.75" customHeight="1">
      <c r="A35" s="1470"/>
      <c r="B35" s="1470"/>
      <c r="C35" s="663"/>
      <c r="D35" s="1476"/>
      <c r="E35" s="1531"/>
      <c r="F35" s="1531"/>
      <c r="G35" s="1538"/>
    </row>
    <row r="36" spans="1:7" ht="15.75" customHeight="1">
      <c r="A36" s="662">
        <v>513122</v>
      </c>
      <c r="B36" s="662">
        <v>513222</v>
      </c>
      <c r="C36" s="662" t="s">
        <v>1112</v>
      </c>
      <c r="D36" s="1477">
        <v>503</v>
      </c>
      <c r="E36" s="107"/>
      <c r="F36" s="107"/>
      <c r="G36" s="107">
        <f t="shared" si="0"/>
        <v>503</v>
      </c>
    </row>
    <row r="37" spans="1:7" ht="15.75" customHeight="1">
      <c r="A37" s="662">
        <v>513132</v>
      </c>
      <c r="B37" s="662">
        <v>513232</v>
      </c>
      <c r="C37" s="662" t="s">
        <v>949</v>
      </c>
      <c r="D37" s="1477"/>
      <c r="E37" s="107"/>
      <c r="F37" s="107"/>
      <c r="G37" s="107"/>
    </row>
    <row r="38" spans="1:7" ht="15.75" customHeight="1">
      <c r="A38" s="662">
        <v>513192</v>
      </c>
      <c r="B38" s="662">
        <v>513292</v>
      </c>
      <c r="C38" s="662" t="s">
        <v>950</v>
      </c>
      <c r="D38" s="1477">
        <v>25</v>
      </c>
      <c r="E38" s="107">
        <v>25</v>
      </c>
      <c r="F38" s="107">
        <v>6</v>
      </c>
      <c r="G38" s="107">
        <f t="shared" si="0"/>
        <v>56</v>
      </c>
    </row>
    <row r="39" spans="1:7" ht="15.75" customHeight="1">
      <c r="A39" s="1470"/>
      <c r="B39" s="1470"/>
      <c r="C39" s="662"/>
      <c r="D39" s="1477"/>
      <c r="E39" s="1531"/>
      <c r="F39" s="1531"/>
      <c r="G39" s="1538"/>
    </row>
    <row r="40" spans="1:7" ht="15.75" customHeight="1">
      <c r="A40" s="663">
        <v>513</v>
      </c>
      <c r="B40" s="663">
        <v>513</v>
      </c>
      <c r="C40" s="663" t="s">
        <v>1113</v>
      </c>
      <c r="D40" s="1476">
        <f>SUM(D36:D39)</f>
        <v>528</v>
      </c>
      <c r="E40" s="1476">
        <f>SUM(E36:E39)</f>
        <v>25</v>
      </c>
      <c r="F40" s="1476">
        <f>SUM(F36:F39)</f>
        <v>6</v>
      </c>
      <c r="G40" s="182">
        <f t="shared" si="0"/>
        <v>559</v>
      </c>
    </row>
    <row r="41" spans="1:7" ht="15.75" customHeight="1">
      <c r="A41" s="663"/>
      <c r="B41" s="663"/>
      <c r="C41" s="663"/>
      <c r="D41" s="1476"/>
      <c r="E41" s="1531"/>
      <c r="F41" s="1531"/>
      <c r="G41" s="1531"/>
    </row>
    <row r="42" spans="1:7" ht="15.75" customHeight="1">
      <c r="A42" s="662">
        <v>514132</v>
      </c>
      <c r="B42" s="662">
        <v>514232</v>
      </c>
      <c r="C42" s="662" t="s">
        <v>951</v>
      </c>
      <c r="D42" s="1477">
        <v>20</v>
      </c>
      <c r="E42" s="107">
        <v>29</v>
      </c>
      <c r="F42" s="107">
        <v>0</v>
      </c>
      <c r="G42" s="107">
        <f>SUM(D42:F42)</f>
        <v>49</v>
      </c>
    </row>
    <row r="43" spans="1:7" ht="15.75" customHeight="1">
      <c r="A43" s="662"/>
      <c r="B43" s="662"/>
      <c r="C43" s="662"/>
      <c r="D43" s="1477"/>
      <c r="E43" s="107"/>
      <c r="F43" s="107"/>
      <c r="G43" s="107"/>
    </row>
    <row r="44" spans="1:7" ht="15.75" customHeight="1">
      <c r="A44" s="662">
        <v>514142</v>
      </c>
      <c r="B44" s="662">
        <v>514242</v>
      </c>
      <c r="C44" s="662" t="s">
        <v>952</v>
      </c>
      <c r="D44" s="1477">
        <v>0</v>
      </c>
      <c r="E44" s="107">
        <v>0</v>
      </c>
      <c r="F44" s="107">
        <v>0</v>
      </c>
      <c r="G44" s="107">
        <f>SUM(D44:F44)</f>
        <v>0</v>
      </c>
    </row>
    <row r="45" spans="1:7" ht="15.75" customHeight="1">
      <c r="A45" s="662"/>
      <c r="B45" s="662"/>
      <c r="C45" s="662"/>
      <c r="D45" s="1477"/>
      <c r="E45" s="107"/>
      <c r="F45" s="107"/>
      <c r="G45" s="107"/>
    </row>
    <row r="46" spans="1:7" ht="15.75" customHeight="1">
      <c r="A46" s="662">
        <v>514192</v>
      </c>
      <c r="B46" s="662">
        <v>514292</v>
      </c>
      <c r="C46" s="1478" t="s">
        <v>1114</v>
      </c>
      <c r="D46" s="1477"/>
      <c r="E46" s="107"/>
      <c r="F46" s="107"/>
      <c r="G46" s="107">
        <f>SUM(D46:F46)</f>
        <v>0</v>
      </c>
    </row>
    <row r="47" spans="1:7" ht="15.75" customHeight="1">
      <c r="A47" s="662"/>
      <c r="B47" s="662"/>
      <c r="C47" s="1478"/>
      <c r="D47" s="1477"/>
      <c r="E47" s="107"/>
      <c r="F47" s="107"/>
      <c r="G47" s="107"/>
    </row>
    <row r="48" spans="1:7" ht="15.75" customHeight="1">
      <c r="A48" s="663">
        <v>514</v>
      </c>
      <c r="B48" s="663">
        <v>514</v>
      </c>
      <c r="C48" s="1541" t="s">
        <v>954</v>
      </c>
      <c r="D48" s="1476">
        <f>SUM(D42:D47)</f>
        <v>20</v>
      </c>
      <c r="E48" s="1476">
        <f>SUM(E42:E47)</f>
        <v>29</v>
      </c>
      <c r="F48" s="1476">
        <f>SUM(F42:F47)</f>
        <v>0</v>
      </c>
      <c r="G48" s="182">
        <f>SUM(D48:F48)</f>
        <v>49</v>
      </c>
    </row>
    <row r="49" spans="1:7" ht="15.75" customHeight="1">
      <c r="A49" s="1470"/>
      <c r="B49" s="1470"/>
      <c r="C49" s="663"/>
      <c r="D49" s="1476"/>
      <c r="E49" s="1531"/>
      <c r="F49" s="1531"/>
      <c r="G49" s="1531"/>
    </row>
    <row r="50" spans="1:8" ht="15.75" customHeight="1">
      <c r="A50" s="663">
        <v>51</v>
      </c>
      <c r="B50" s="1470"/>
      <c r="C50" s="663" t="s">
        <v>165</v>
      </c>
      <c r="D50" s="1538">
        <f>D15+D26+D34+D40+D48</f>
        <v>9652</v>
      </c>
      <c r="E50" s="1538">
        <f>E15+E26+E34+E40+E48</f>
        <v>11763</v>
      </c>
      <c r="F50" s="1538">
        <f>F15+F26+F34+F40+F48</f>
        <v>1682</v>
      </c>
      <c r="G50" s="182">
        <f>SUM(D50:F50)</f>
        <v>23097</v>
      </c>
      <c r="H50" s="7">
        <f>G15+G26+G34+G40+G48</f>
        <v>23097</v>
      </c>
    </row>
    <row r="51" spans="1:7" ht="15.75" customHeight="1">
      <c r="A51" s="663"/>
      <c r="B51" s="1470"/>
      <c r="C51" s="663"/>
      <c r="D51" s="1476"/>
      <c r="E51" s="1531"/>
      <c r="F51" s="1531"/>
      <c r="G51" s="1531"/>
    </row>
    <row r="52" spans="1:7" ht="15.75" customHeight="1">
      <c r="A52" s="38">
        <v>52211</v>
      </c>
      <c r="B52" s="38">
        <v>52221</v>
      </c>
      <c r="C52" s="38" t="s">
        <v>887</v>
      </c>
      <c r="D52" s="1477">
        <v>0</v>
      </c>
      <c r="E52" s="1531">
        <v>272</v>
      </c>
      <c r="F52" s="1531"/>
      <c r="G52" s="1538">
        <f>SUM(D52:F52)</f>
        <v>272</v>
      </c>
    </row>
    <row r="53" spans="1:7" ht="15.75" customHeight="1">
      <c r="A53" s="1464">
        <v>52217</v>
      </c>
      <c r="B53" s="1464">
        <v>52227</v>
      </c>
      <c r="C53" s="38" t="s">
        <v>955</v>
      </c>
      <c r="D53" s="1477"/>
      <c r="E53" s="1531"/>
      <c r="F53" s="1531"/>
      <c r="G53" s="1531"/>
    </row>
    <row r="54" spans="1:7" ht="15.75" customHeight="1">
      <c r="A54" s="38">
        <v>52</v>
      </c>
      <c r="B54" s="38"/>
      <c r="C54" s="38" t="s">
        <v>325</v>
      </c>
      <c r="D54" s="1476">
        <f>D52+D53</f>
        <v>0</v>
      </c>
      <c r="E54" s="1538">
        <f>E52+E53</f>
        <v>272</v>
      </c>
      <c r="F54" s="1538">
        <f>F52+F53</f>
        <v>0</v>
      </c>
      <c r="G54" s="1538">
        <f>SUM(D54:F54)</f>
        <v>272</v>
      </c>
    </row>
    <row r="55" spans="1:7" ht="15.75" customHeight="1">
      <c r="A55" s="38"/>
      <c r="B55" s="1464"/>
      <c r="C55" s="38"/>
      <c r="D55" s="1476"/>
      <c r="E55" s="1531"/>
      <c r="F55" s="1531"/>
      <c r="G55" s="1531"/>
    </row>
    <row r="56" spans="1:8" ht="15.75" customHeight="1">
      <c r="A56" s="38"/>
      <c r="B56" s="1464"/>
      <c r="C56" s="38" t="s">
        <v>326</v>
      </c>
      <c r="D56" s="1538">
        <f>D50+D54</f>
        <v>9652</v>
      </c>
      <c r="E56" s="1538">
        <f>E50+E54</f>
        <v>12035</v>
      </c>
      <c r="F56" s="1538">
        <f>F50+F54</f>
        <v>1682</v>
      </c>
      <c r="G56" s="1538">
        <f>SUM(D56:F56)</f>
        <v>23369</v>
      </c>
      <c r="H56" s="7">
        <f>G50+G54</f>
        <v>23369</v>
      </c>
    </row>
    <row r="57" spans="1:10" ht="15.75" customHeight="1">
      <c r="A57" s="38"/>
      <c r="B57" s="1464"/>
      <c r="C57" s="38"/>
      <c r="D57" s="1476"/>
      <c r="E57" s="1531"/>
      <c r="F57" s="1531"/>
      <c r="G57" s="1531"/>
      <c r="J57" s="7">
        <f>D15+D26+D28+D30+D32+D36</f>
        <v>9607</v>
      </c>
    </row>
    <row r="58" spans="1:10" ht="15.75" customHeight="1">
      <c r="A58" s="1494">
        <v>5311</v>
      </c>
      <c r="B58" s="1494">
        <v>5312</v>
      </c>
      <c r="C58" s="1494" t="s">
        <v>838</v>
      </c>
      <c r="D58" s="1508">
        <f>J57*27/100</f>
        <v>2593.89</v>
      </c>
      <c r="E58" s="1531">
        <f>J58*27/100</f>
        <v>3234.87</v>
      </c>
      <c r="F58" s="1531">
        <f>J59*27/100</f>
        <v>452.52</v>
      </c>
      <c r="G58" s="1531">
        <f>SUM(D58:F58)</f>
        <v>6281.280000000001</v>
      </c>
      <c r="J58" s="7">
        <f>E15+E26+E28+E30+E32+E54</f>
        <v>11981</v>
      </c>
    </row>
    <row r="59" spans="1:10" ht="15.75" customHeight="1">
      <c r="A59" s="1494"/>
      <c r="B59" s="1494"/>
      <c r="C59" s="1494"/>
      <c r="D59" s="1508"/>
      <c r="E59" s="1531"/>
      <c r="F59" s="1531"/>
      <c r="G59" s="1531"/>
      <c r="J59" s="7">
        <f>F15+F26+F32</f>
        <v>1676</v>
      </c>
    </row>
    <row r="60" spans="1:7" ht="15.75" customHeight="1">
      <c r="A60" s="1492">
        <v>53</v>
      </c>
      <c r="B60" s="1542"/>
      <c r="C60" s="1492" t="s">
        <v>328</v>
      </c>
      <c r="D60" s="1543">
        <f>D58</f>
        <v>2593.89</v>
      </c>
      <c r="E60" s="1544">
        <f>E58</f>
        <v>3234.87</v>
      </c>
      <c r="F60" s="1544">
        <f>F58</f>
        <v>452.52</v>
      </c>
      <c r="G60" s="1538">
        <f>SUM(D60:F60)</f>
        <v>6281.280000000001</v>
      </c>
    </row>
    <row r="61" spans="1:7" ht="15.75" customHeight="1">
      <c r="A61" s="1545"/>
      <c r="B61" s="1546"/>
      <c r="C61" s="1545"/>
      <c r="D61" s="1547"/>
      <c r="E61" s="1548"/>
      <c r="F61" s="1548"/>
      <c r="G61" s="1549"/>
    </row>
    <row r="62" spans="1:7" ht="15.75" customHeight="1">
      <c r="A62" s="1484"/>
      <c r="B62" s="1485"/>
      <c r="C62" s="1550"/>
      <c r="D62" s="1551"/>
      <c r="E62" s="1552"/>
      <c r="F62" s="1552"/>
      <c r="G62" s="1552"/>
    </row>
    <row r="63" spans="1:8" ht="15.75" customHeight="1">
      <c r="A63" s="38" t="s">
        <v>1115</v>
      </c>
      <c r="B63" s="1464"/>
      <c r="C63" s="1490"/>
      <c r="D63" s="628">
        <f>D56+D60</f>
        <v>12245.89</v>
      </c>
      <c r="E63" s="1538">
        <f>E56+E60</f>
        <v>15269.869999999999</v>
      </c>
      <c r="F63" s="1538">
        <f>F56+F60</f>
        <v>2134.52</v>
      </c>
      <c r="G63" s="1538">
        <f>SUM(D63:F63)</f>
        <v>29650.28</v>
      </c>
      <c r="H63" s="7">
        <f>G56+G60</f>
        <v>29650.28</v>
      </c>
    </row>
    <row r="64" spans="1:7" ht="15.75" customHeight="1">
      <c r="A64" s="1450"/>
      <c r="B64" s="1496"/>
      <c r="C64" s="1497"/>
      <c r="D64" s="1553"/>
      <c r="E64" s="1549"/>
      <c r="F64" s="1549"/>
      <c r="G64" s="1549"/>
    </row>
    <row r="65" spans="1:9" ht="15.75" customHeight="1">
      <c r="A65" s="2867" t="s">
        <v>1108</v>
      </c>
      <c r="B65" s="2546"/>
      <c r="C65" s="2546"/>
      <c r="D65" s="2546"/>
      <c r="E65" s="2546"/>
      <c r="F65" s="2546"/>
      <c r="G65" s="2546"/>
      <c r="H65" s="417"/>
      <c r="I65" s="417"/>
    </row>
    <row r="66" spans="1:4" ht="15.75" customHeight="1">
      <c r="A66" s="2867"/>
      <c r="B66" s="2867"/>
      <c r="C66" s="2867"/>
      <c r="D66" s="2397"/>
    </row>
    <row r="67" spans="1:9" ht="15.75" customHeight="1">
      <c r="A67" s="2869" t="s">
        <v>928</v>
      </c>
      <c r="B67" s="2546"/>
      <c r="C67" s="2546"/>
      <c r="D67" s="2546"/>
      <c r="E67" s="2546"/>
      <c r="F67" s="2546"/>
      <c r="G67" s="2546"/>
      <c r="H67" s="417"/>
      <c r="I67" s="417"/>
    </row>
    <row r="68" spans="1:4" ht="15.75" customHeight="1">
      <c r="A68" s="2869"/>
      <c r="B68" s="2870"/>
      <c r="C68" s="2870"/>
      <c r="D68" s="2870"/>
    </row>
    <row r="69" spans="1:9" ht="15.75" customHeight="1">
      <c r="A69" s="2869" t="s">
        <v>1636</v>
      </c>
      <c r="B69" s="2546"/>
      <c r="C69" s="2546"/>
      <c r="D69" s="2546"/>
      <c r="E69" s="2546"/>
      <c r="F69" s="2546"/>
      <c r="G69" s="2546"/>
      <c r="H69" s="417"/>
      <c r="I69" s="417"/>
    </row>
    <row r="70" spans="1:4" ht="15.75" customHeight="1">
      <c r="A70" s="1502"/>
      <c r="B70" s="1502"/>
      <c r="C70" s="1502"/>
      <c r="D70" s="1503"/>
    </row>
    <row r="71" spans="1:7" ht="15.75" customHeight="1">
      <c r="A71" s="2860" t="s">
        <v>163</v>
      </c>
      <c r="B71" s="2861"/>
      <c r="C71" s="2860" t="s">
        <v>818</v>
      </c>
      <c r="D71" s="2857">
        <v>852011</v>
      </c>
      <c r="E71" s="2859">
        <v>852021</v>
      </c>
      <c r="F71" s="2859">
        <v>855911</v>
      </c>
      <c r="G71" s="2868" t="s">
        <v>1433</v>
      </c>
    </row>
    <row r="72" spans="1:8" ht="15.75" customHeight="1">
      <c r="A72" s="2862"/>
      <c r="B72" s="2863"/>
      <c r="C72" s="2871"/>
      <c r="D72" s="2858"/>
      <c r="E72" s="2859"/>
      <c r="F72" s="2859"/>
      <c r="G72" s="2868"/>
      <c r="H72" t="s">
        <v>1116</v>
      </c>
    </row>
    <row r="73" spans="1:10" ht="15.75" customHeight="1">
      <c r="A73" s="2864"/>
      <c r="B73" s="2865"/>
      <c r="C73" s="1457" t="s">
        <v>929</v>
      </c>
      <c r="D73" s="1534" t="s">
        <v>1109</v>
      </c>
      <c r="E73" s="1534" t="s">
        <v>1109</v>
      </c>
      <c r="F73" s="1534" t="s">
        <v>1109</v>
      </c>
      <c r="G73" s="1534" t="s">
        <v>1109</v>
      </c>
      <c r="H73" s="1554" t="s">
        <v>1117</v>
      </c>
      <c r="I73" s="1555" t="s">
        <v>1118</v>
      </c>
      <c r="J73" s="8">
        <v>0.65</v>
      </c>
    </row>
    <row r="74" spans="1:10" ht="15.75" customHeight="1">
      <c r="A74" s="4" t="s">
        <v>821</v>
      </c>
      <c r="B74" s="4" t="s">
        <v>822</v>
      </c>
      <c r="C74" s="1459" t="s">
        <v>511</v>
      </c>
      <c r="D74" s="2872" t="s">
        <v>930</v>
      </c>
      <c r="E74" s="2873"/>
      <c r="F74" s="2873"/>
      <c r="G74" s="2874"/>
      <c r="H74" t="s">
        <v>1119</v>
      </c>
      <c r="I74" s="19" t="s">
        <v>1120</v>
      </c>
      <c r="J74" s="8">
        <v>0.35</v>
      </c>
    </row>
    <row r="75" spans="1:9" ht="15.75" customHeight="1">
      <c r="A75" s="1464">
        <v>5411</v>
      </c>
      <c r="B75" s="1464">
        <v>5412</v>
      </c>
      <c r="C75" s="1464" t="s">
        <v>1637</v>
      </c>
      <c r="D75" s="1504">
        <v>0</v>
      </c>
      <c r="E75" s="1504">
        <v>0</v>
      </c>
      <c r="F75" s="1556">
        <v>0</v>
      </c>
      <c r="G75" s="1531">
        <f aca="true" t="shared" si="1" ref="G75:G87">SUM(D75:F75)</f>
        <v>0</v>
      </c>
      <c r="H75" t="s">
        <v>1433</v>
      </c>
      <c r="I75" s="19" t="s">
        <v>1121</v>
      </c>
    </row>
    <row r="76" spans="1:8" ht="15.75" customHeight="1">
      <c r="A76" s="38">
        <v>5421</v>
      </c>
      <c r="B76" s="38">
        <v>5422</v>
      </c>
      <c r="C76" s="1464" t="s">
        <v>2083</v>
      </c>
      <c r="D76" s="628">
        <v>7</v>
      </c>
      <c r="E76" s="628">
        <v>3</v>
      </c>
      <c r="F76" s="628"/>
      <c r="G76" s="182">
        <f t="shared" si="1"/>
        <v>10</v>
      </c>
      <c r="H76">
        <v>10</v>
      </c>
    </row>
    <row r="77" spans="1:8" ht="15.75" customHeight="1">
      <c r="A77" s="38">
        <v>5431</v>
      </c>
      <c r="B77" s="38">
        <v>5432</v>
      </c>
      <c r="C77" s="1462" t="s">
        <v>1472</v>
      </c>
      <c r="D77" s="628">
        <v>40</v>
      </c>
      <c r="E77" s="628">
        <v>20</v>
      </c>
      <c r="F77" s="628"/>
      <c r="G77" s="182">
        <f t="shared" si="1"/>
        <v>60</v>
      </c>
      <c r="H77" s="1557">
        <v>60</v>
      </c>
    </row>
    <row r="78" spans="1:8" ht="15.75" customHeight="1">
      <c r="A78" s="38">
        <v>5441</v>
      </c>
      <c r="B78" s="38">
        <v>5442</v>
      </c>
      <c r="C78" s="1462" t="s">
        <v>1473</v>
      </c>
      <c r="D78" s="628">
        <v>60</v>
      </c>
      <c r="E78" s="628">
        <v>20</v>
      </c>
      <c r="F78" s="628"/>
      <c r="G78" s="182">
        <f t="shared" si="1"/>
        <v>80</v>
      </c>
      <c r="H78" s="1557">
        <v>80</v>
      </c>
    </row>
    <row r="79" spans="1:8" ht="15.75" customHeight="1">
      <c r="A79" s="38">
        <v>54412</v>
      </c>
      <c r="B79" s="38">
        <v>54422</v>
      </c>
      <c r="C79" s="1462" t="s">
        <v>1638</v>
      </c>
      <c r="D79" s="628">
        <v>30</v>
      </c>
      <c r="E79" s="628">
        <v>20</v>
      </c>
      <c r="F79" s="628"/>
      <c r="G79" s="182">
        <f t="shared" si="1"/>
        <v>50</v>
      </c>
      <c r="H79">
        <v>50</v>
      </c>
    </row>
    <row r="80" spans="1:7" ht="15.75" customHeight="1">
      <c r="A80" s="1464">
        <v>5451</v>
      </c>
      <c r="B80" s="1464">
        <v>5452</v>
      </c>
      <c r="C80" s="1462" t="s">
        <v>1639</v>
      </c>
      <c r="D80" s="1504">
        <v>0</v>
      </c>
      <c r="E80" s="1504"/>
      <c r="F80" s="1504"/>
      <c r="G80" s="182"/>
    </row>
    <row r="81" spans="1:7" ht="15.75" customHeight="1">
      <c r="A81" s="1464">
        <v>5461</v>
      </c>
      <c r="B81" s="1464">
        <v>5462</v>
      </c>
      <c r="C81" s="1462" t="s">
        <v>1640</v>
      </c>
      <c r="D81" s="1504">
        <v>0</v>
      </c>
      <c r="E81" s="1504"/>
      <c r="F81" s="1504"/>
      <c r="G81" s="182"/>
    </row>
    <row r="82" spans="1:8" ht="15.75" customHeight="1">
      <c r="A82" s="38">
        <v>54711</v>
      </c>
      <c r="B82" s="38">
        <v>54721</v>
      </c>
      <c r="C82" s="1462" t="s">
        <v>1641</v>
      </c>
      <c r="D82" s="628">
        <v>35</v>
      </c>
      <c r="E82" s="628">
        <v>15</v>
      </c>
      <c r="F82" s="628"/>
      <c r="G82" s="182">
        <f t="shared" si="1"/>
        <v>50</v>
      </c>
      <c r="H82">
        <v>50</v>
      </c>
    </row>
    <row r="83" spans="1:8" ht="15.75" customHeight="1">
      <c r="A83" s="38">
        <v>54712</v>
      </c>
      <c r="B83" s="38">
        <v>54722</v>
      </c>
      <c r="C83" s="1462" t="s">
        <v>1642</v>
      </c>
      <c r="D83" s="628">
        <v>35</v>
      </c>
      <c r="E83" s="628">
        <v>15</v>
      </c>
      <c r="F83" s="628"/>
      <c r="G83" s="182">
        <f t="shared" si="1"/>
        <v>50</v>
      </c>
      <c r="H83" s="12">
        <v>50</v>
      </c>
    </row>
    <row r="84" spans="1:8" ht="15.75" customHeight="1">
      <c r="A84" s="38">
        <v>5481</v>
      </c>
      <c r="B84" s="38">
        <v>5482</v>
      </c>
      <c r="C84" s="1462" t="s">
        <v>1273</v>
      </c>
      <c r="D84" s="628">
        <v>0</v>
      </c>
      <c r="E84" s="628">
        <v>0</v>
      </c>
      <c r="F84" s="628">
        <v>0</v>
      </c>
      <c r="G84" s="182">
        <v>0</v>
      </c>
      <c r="H84" s="1557">
        <v>0</v>
      </c>
    </row>
    <row r="85" spans="1:8" ht="15.75" customHeight="1">
      <c r="A85" s="38">
        <v>5491</v>
      </c>
      <c r="B85" s="38">
        <v>5492</v>
      </c>
      <c r="C85" s="1462" t="s">
        <v>847</v>
      </c>
      <c r="D85" s="628">
        <v>100</v>
      </c>
      <c r="E85" s="628">
        <v>50</v>
      </c>
      <c r="F85" s="628"/>
      <c r="G85" s="182">
        <f t="shared" si="1"/>
        <v>150</v>
      </c>
      <c r="H85">
        <v>150</v>
      </c>
    </row>
    <row r="86" spans="1:7" ht="15.75" customHeight="1">
      <c r="A86" s="1464"/>
      <c r="B86" s="1464"/>
      <c r="C86" s="1462"/>
      <c r="D86" s="1504"/>
      <c r="E86" s="1504"/>
      <c r="F86" s="1504"/>
      <c r="G86" s="182"/>
    </row>
    <row r="87" spans="1:8" ht="15.75" customHeight="1">
      <c r="A87" s="38">
        <v>54</v>
      </c>
      <c r="B87" s="1505"/>
      <c r="C87" s="37" t="s">
        <v>1122</v>
      </c>
      <c r="D87" s="628">
        <f>SUM(D75:D85)</f>
        <v>307</v>
      </c>
      <c r="E87" s="628">
        <f>SUM(E75:E85)</f>
        <v>143</v>
      </c>
      <c r="F87" s="628">
        <f>SUM(F75:F85)</f>
        <v>0</v>
      </c>
      <c r="G87" s="182">
        <f t="shared" si="1"/>
        <v>450</v>
      </c>
      <c r="H87">
        <f>SUM(H76:H86)</f>
        <v>450</v>
      </c>
    </row>
    <row r="88" spans="1:7" ht="15.75" customHeight="1">
      <c r="A88" s="38"/>
      <c r="B88" s="1467"/>
      <c r="C88" s="37"/>
      <c r="D88" s="628"/>
      <c r="E88" s="628"/>
      <c r="F88" s="628"/>
      <c r="G88" s="1531"/>
    </row>
    <row r="89" spans="1:8" ht="15.75" customHeight="1">
      <c r="A89" s="38">
        <v>55111</v>
      </c>
      <c r="B89" s="38">
        <v>55211</v>
      </c>
      <c r="C89" s="106" t="s">
        <v>1392</v>
      </c>
      <c r="D89" s="628">
        <v>65</v>
      </c>
      <c r="E89" s="628">
        <v>35</v>
      </c>
      <c r="F89" s="628"/>
      <c r="G89" s="182">
        <f aca="true" t="shared" si="2" ref="G89:G98">SUM(D89:F89)</f>
        <v>100</v>
      </c>
      <c r="H89">
        <v>100</v>
      </c>
    </row>
    <row r="90" spans="1:8" ht="15.75" customHeight="1">
      <c r="A90" s="38">
        <v>55211</v>
      </c>
      <c r="B90" s="38">
        <v>55221</v>
      </c>
      <c r="C90" s="106" t="s">
        <v>1123</v>
      </c>
      <c r="D90" s="628">
        <v>5697</v>
      </c>
      <c r="E90" s="628"/>
      <c r="F90" s="628"/>
      <c r="G90" s="182">
        <f t="shared" si="2"/>
        <v>5697</v>
      </c>
      <c r="H90">
        <v>5697</v>
      </c>
    </row>
    <row r="91" spans="1:7" ht="15.75" customHeight="1">
      <c r="A91" s="550">
        <v>55119</v>
      </c>
      <c r="B91" s="1464">
        <v>55129</v>
      </c>
      <c r="C91" s="106" t="s">
        <v>1644</v>
      </c>
      <c r="D91" s="300">
        <v>0</v>
      </c>
      <c r="E91" s="300"/>
      <c r="F91" s="300"/>
      <c r="G91" s="182">
        <f t="shared" si="2"/>
        <v>0</v>
      </c>
    </row>
    <row r="92" spans="1:7" ht="15.75" customHeight="1">
      <c r="A92" s="1470">
        <v>55213</v>
      </c>
      <c r="B92" s="1470">
        <v>55223</v>
      </c>
      <c r="C92" s="1506" t="s">
        <v>1902</v>
      </c>
      <c r="D92" s="1507">
        <v>0</v>
      </c>
      <c r="E92" s="1507"/>
      <c r="F92" s="1507"/>
      <c r="G92" s="182">
        <f t="shared" si="2"/>
        <v>0</v>
      </c>
    </row>
    <row r="93" spans="1:8" ht="15.75" customHeight="1">
      <c r="A93" s="663">
        <v>55214</v>
      </c>
      <c r="B93" s="663">
        <v>55224</v>
      </c>
      <c r="C93" s="1506" t="s">
        <v>1646</v>
      </c>
      <c r="D93" s="1544">
        <v>850</v>
      </c>
      <c r="E93" s="1544">
        <v>450</v>
      </c>
      <c r="F93" s="1544"/>
      <c r="G93" s="182">
        <f t="shared" si="2"/>
        <v>1300</v>
      </c>
      <c r="H93">
        <v>1300</v>
      </c>
    </row>
    <row r="94" spans="1:8" ht="15.75" customHeight="1">
      <c r="A94" s="663">
        <v>55215</v>
      </c>
      <c r="B94" s="663">
        <v>55225</v>
      </c>
      <c r="C94" s="1506" t="s">
        <v>1647</v>
      </c>
      <c r="D94" s="1519">
        <v>350</v>
      </c>
      <c r="E94" s="1519">
        <v>150</v>
      </c>
      <c r="F94" s="1519"/>
      <c r="G94" s="182">
        <f t="shared" si="2"/>
        <v>500</v>
      </c>
      <c r="H94">
        <v>500</v>
      </c>
    </row>
    <row r="95" spans="1:7" ht="15.75" customHeight="1">
      <c r="A95" s="1470">
        <v>55216</v>
      </c>
      <c r="B95" s="1470">
        <v>55226</v>
      </c>
      <c r="C95" s="1506" t="s">
        <v>1648</v>
      </c>
      <c r="D95" s="1504">
        <v>0</v>
      </c>
      <c r="E95" s="1504"/>
      <c r="F95" s="1504"/>
      <c r="G95" s="182">
        <f t="shared" si="2"/>
        <v>0</v>
      </c>
    </row>
    <row r="96" spans="1:8" ht="15.75" customHeight="1">
      <c r="A96" s="663">
        <v>55217</v>
      </c>
      <c r="B96" s="663">
        <v>55227</v>
      </c>
      <c r="C96" s="1506" t="s">
        <v>1649</v>
      </c>
      <c r="D96" s="628">
        <v>65</v>
      </c>
      <c r="E96" s="628">
        <v>35</v>
      </c>
      <c r="F96" s="628"/>
      <c r="G96" s="182">
        <f t="shared" si="2"/>
        <v>100</v>
      </c>
      <c r="H96">
        <v>100</v>
      </c>
    </row>
    <row r="97" spans="1:8" ht="15.75" customHeight="1">
      <c r="A97" s="663">
        <v>55218</v>
      </c>
      <c r="B97" s="663">
        <v>55228</v>
      </c>
      <c r="C97" s="1506" t="s">
        <v>1650</v>
      </c>
      <c r="D97" s="628">
        <v>65</v>
      </c>
      <c r="E97" s="628">
        <v>35</v>
      </c>
      <c r="F97" s="628"/>
      <c r="G97" s="182">
        <f t="shared" si="2"/>
        <v>100</v>
      </c>
      <c r="H97">
        <v>100</v>
      </c>
    </row>
    <row r="98" spans="1:8" ht="15.75" customHeight="1">
      <c r="A98" s="663">
        <v>55219</v>
      </c>
      <c r="B98" s="663">
        <v>55229</v>
      </c>
      <c r="C98" s="1506" t="s">
        <v>1651</v>
      </c>
      <c r="D98" s="628">
        <v>210</v>
      </c>
      <c r="E98" s="628">
        <v>90</v>
      </c>
      <c r="F98" s="628"/>
      <c r="G98" s="182">
        <f t="shared" si="2"/>
        <v>300</v>
      </c>
      <c r="H98">
        <v>300</v>
      </c>
    </row>
    <row r="99" spans="1:7" ht="15.75" customHeight="1">
      <c r="A99" s="1470"/>
      <c r="B99" s="1470"/>
      <c r="C99" s="1506"/>
      <c r="D99" s="1504"/>
      <c r="E99" s="1504"/>
      <c r="F99" s="1504"/>
      <c r="G99" s="1531"/>
    </row>
    <row r="100" spans="1:8" ht="15.75" customHeight="1">
      <c r="A100" s="663">
        <v>55</v>
      </c>
      <c r="B100" s="1509"/>
      <c r="C100" s="1510" t="s">
        <v>1124</v>
      </c>
      <c r="D100" s="628">
        <f>SUM(D89:D99)</f>
        <v>7302</v>
      </c>
      <c r="E100" s="628">
        <f>SUM(E89:E99)</f>
        <v>795</v>
      </c>
      <c r="F100" s="628">
        <f>SUM(F89:F99)</f>
        <v>0</v>
      </c>
      <c r="G100" s="182">
        <f>SUM(D100:F100)</f>
        <v>8097</v>
      </c>
      <c r="H100">
        <f>SUM(H89:H99)</f>
        <v>8097</v>
      </c>
    </row>
    <row r="101" spans="1:7" ht="15.75" customHeight="1">
      <c r="A101" s="663"/>
      <c r="B101" s="1511"/>
      <c r="C101" s="1510"/>
      <c r="D101" s="628"/>
      <c r="E101" s="628"/>
      <c r="F101" s="628"/>
      <c r="G101" s="1531"/>
    </row>
    <row r="102" spans="1:7" ht="15.75" customHeight="1">
      <c r="A102" s="662">
        <v>5531</v>
      </c>
      <c r="B102" s="662">
        <v>5532</v>
      </c>
      <c r="C102" s="1512" t="s">
        <v>1125</v>
      </c>
      <c r="D102" s="300">
        <v>0</v>
      </c>
      <c r="E102" s="300">
        <v>0</v>
      </c>
      <c r="F102" s="300">
        <v>0</v>
      </c>
      <c r="G102" s="1531">
        <f>SUM(D102:F102)</f>
        <v>0</v>
      </c>
    </row>
    <row r="103" spans="1:7" ht="15.75" customHeight="1">
      <c r="A103" s="663"/>
      <c r="B103" s="1511"/>
      <c r="C103" s="1510"/>
      <c r="D103" s="628"/>
      <c r="E103" s="628"/>
      <c r="F103" s="628"/>
      <c r="G103" s="1531"/>
    </row>
    <row r="104" spans="1:10" ht="15.75" customHeight="1">
      <c r="A104" s="1468">
        <v>56111</v>
      </c>
      <c r="B104" s="1468">
        <v>56121</v>
      </c>
      <c r="C104" s="1513" t="s">
        <v>1654</v>
      </c>
      <c r="D104" s="1514">
        <f>I104*27/100</f>
        <v>2054.43</v>
      </c>
      <c r="E104" s="1514">
        <f>J104*27/100</f>
        <v>253.26</v>
      </c>
      <c r="F104" s="1514">
        <v>3</v>
      </c>
      <c r="G104" s="182">
        <f aca="true" t="shared" si="3" ref="G104:G109">SUM(D104:F104)</f>
        <v>2310.6899999999996</v>
      </c>
      <c r="H104" s="7"/>
      <c r="I104" s="7">
        <f>(D87+D100)</f>
        <v>7609</v>
      </c>
      <c r="J104" s="7">
        <f>E87+E100</f>
        <v>938</v>
      </c>
    </row>
    <row r="105" spans="1:7" ht="15.75" customHeight="1">
      <c r="A105" s="1475">
        <v>56112</v>
      </c>
      <c r="B105" s="1475">
        <v>56122</v>
      </c>
      <c r="C105" s="1513" t="s">
        <v>1655</v>
      </c>
      <c r="D105" s="1507">
        <v>0</v>
      </c>
      <c r="E105" s="1507">
        <v>0</v>
      </c>
      <c r="F105" s="1507">
        <v>0</v>
      </c>
      <c r="G105" s="1531">
        <f t="shared" si="3"/>
        <v>0</v>
      </c>
    </row>
    <row r="106" spans="1:8" ht="15.75" customHeight="1">
      <c r="A106" s="38">
        <v>56211</v>
      </c>
      <c r="B106" s="38">
        <v>56221</v>
      </c>
      <c r="C106" s="1506" t="s">
        <v>1400</v>
      </c>
      <c r="D106" s="1514">
        <v>100</v>
      </c>
      <c r="E106" s="1514"/>
      <c r="F106" s="1514"/>
      <c r="G106" s="182">
        <f t="shared" si="3"/>
        <v>100</v>
      </c>
      <c r="H106">
        <v>100</v>
      </c>
    </row>
    <row r="107" spans="1:8" ht="15.75" customHeight="1">
      <c r="A107" s="38">
        <v>56213</v>
      </c>
      <c r="B107" s="38">
        <v>56223</v>
      </c>
      <c r="C107" s="1506" t="s">
        <v>1401</v>
      </c>
      <c r="D107" s="1514">
        <v>7</v>
      </c>
      <c r="E107" s="1514"/>
      <c r="F107" s="1514"/>
      <c r="G107" s="182">
        <f t="shared" si="3"/>
        <v>7</v>
      </c>
      <c r="H107">
        <v>7</v>
      </c>
    </row>
    <row r="108" spans="1:7" ht="15.75" customHeight="1">
      <c r="A108" s="1464">
        <v>56317</v>
      </c>
      <c r="B108" s="1464">
        <v>56327</v>
      </c>
      <c r="C108" s="1506" t="s">
        <v>1656</v>
      </c>
      <c r="D108" s="1504">
        <v>0</v>
      </c>
      <c r="E108" s="1504">
        <v>0</v>
      </c>
      <c r="F108" s="1504">
        <v>0</v>
      </c>
      <c r="G108" s="1531">
        <f t="shared" si="3"/>
        <v>0</v>
      </c>
    </row>
    <row r="109" spans="1:7" ht="15.75" customHeight="1">
      <c r="A109" s="1464">
        <v>5641</v>
      </c>
      <c r="B109" s="1464">
        <v>5642</v>
      </c>
      <c r="C109" s="1515" t="s">
        <v>1126</v>
      </c>
      <c r="D109" s="1504">
        <v>0</v>
      </c>
      <c r="E109" s="1504">
        <v>0</v>
      </c>
      <c r="F109" s="1504">
        <v>0</v>
      </c>
      <c r="G109" s="1531">
        <f t="shared" si="3"/>
        <v>0</v>
      </c>
    </row>
    <row r="110" spans="1:7" ht="15.75" customHeight="1">
      <c r="A110" s="1464"/>
      <c r="B110" s="1464"/>
      <c r="C110" s="1506"/>
      <c r="D110" s="1504"/>
      <c r="E110" s="1504"/>
      <c r="F110" s="1504"/>
      <c r="G110" s="1531"/>
    </row>
    <row r="111" spans="1:8" ht="15.75" customHeight="1">
      <c r="A111" s="38">
        <v>56</v>
      </c>
      <c r="B111" s="38"/>
      <c r="C111" s="1510" t="s">
        <v>1659</v>
      </c>
      <c r="D111" s="628">
        <f>SUM(D104:D110)</f>
        <v>2161.43</v>
      </c>
      <c r="E111" s="628">
        <f>SUM(E104:E110)</f>
        <v>253.26</v>
      </c>
      <c r="F111" s="628">
        <f>SUM(F104:F110)</f>
        <v>3</v>
      </c>
      <c r="G111" s="182">
        <f>SUM(D111:F111)</f>
        <v>2417.6899999999996</v>
      </c>
      <c r="H111" s="7"/>
    </row>
    <row r="112" spans="1:7" ht="15.75" customHeight="1">
      <c r="A112" s="38"/>
      <c r="B112" s="1464"/>
      <c r="C112" s="1510"/>
      <c r="D112" s="628"/>
      <c r="E112" s="628"/>
      <c r="F112" s="628"/>
      <c r="G112" s="1531"/>
    </row>
    <row r="113" spans="1:7" ht="15.75" customHeight="1">
      <c r="A113" s="1489">
        <v>57119</v>
      </c>
      <c r="B113" s="1489">
        <v>57129</v>
      </c>
      <c r="C113" s="1506" t="s">
        <v>1660</v>
      </c>
      <c r="D113" s="1514"/>
      <c r="E113" s="1514"/>
      <c r="F113" s="1514"/>
      <c r="G113" s="182">
        <f>SUM(D113:F113)</f>
        <v>0</v>
      </c>
    </row>
    <row r="114" spans="1:7" ht="15.75" customHeight="1">
      <c r="A114" s="1464">
        <v>57211</v>
      </c>
      <c r="B114" s="1464">
        <v>57221</v>
      </c>
      <c r="C114" s="1506" t="s">
        <v>1661</v>
      </c>
      <c r="D114" s="1504">
        <v>0</v>
      </c>
      <c r="E114" s="1504">
        <v>0</v>
      </c>
      <c r="F114" s="1504">
        <v>0</v>
      </c>
      <c r="G114" s="1531">
        <f>SUM(D114:F114)</f>
        <v>0</v>
      </c>
    </row>
    <row r="115" spans="1:8" ht="15.75" customHeight="1">
      <c r="A115" s="1558">
        <v>57213</v>
      </c>
      <c r="B115" s="1558">
        <v>57223</v>
      </c>
      <c r="C115" s="1517" t="s">
        <v>542</v>
      </c>
      <c r="D115" s="1559">
        <v>193</v>
      </c>
      <c r="E115" s="1559">
        <v>193</v>
      </c>
      <c r="F115" s="1559">
        <v>48</v>
      </c>
      <c r="G115" s="182">
        <f>SUM(D115:F115)</f>
        <v>434</v>
      </c>
      <c r="H115" s="1557"/>
    </row>
    <row r="116" spans="1:7" ht="15.75" customHeight="1">
      <c r="A116" s="1516"/>
      <c r="B116" s="1516"/>
      <c r="C116" s="1506"/>
      <c r="D116" s="1518"/>
      <c r="E116" s="1518"/>
      <c r="F116" s="1518"/>
      <c r="G116" s="1531"/>
    </row>
    <row r="117" spans="1:8" ht="15.75" customHeight="1">
      <c r="A117" s="38">
        <v>57</v>
      </c>
      <c r="B117" s="37"/>
      <c r="C117" s="37" t="s">
        <v>1663</v>
      </c>
      <c r="D117" s="628">
        <f>SUM(D113:D115)</f>
        <v>193</v>
      </c>
      <c r="E117" s="628">
        <f>SUM(E113:E115)</f>
        <v>193</v>
      </c>
      <c r="F117" s="628">
        <f>SUM(F113:F115)</f>
        <v>48</v>
      </c>
      <c r="G117" s="182">
        <f>SUM(D117:F117)</f>
        <v>434</v>
      </c>
      <c r="H117" s="7"/>
    </row>
    <row r="118" spans="1:7" ht="15.75" customHeight="1">
      <c r="A118" s="38"/>
      <c r="B118" s="37"/>
      <c r="C118" s="37"/>
      <c r="D118" s="1519"/>
      <c r="E118" s="1519"/>
      <c r="F118" s="1519"/>
      <c r="G118" s="1531"/>
    </row>
    <row r="119" spans="1:8" ht="15.75" customHeight="1">
      <c r="A119" s="38"/>
      <c r="B119" s="37"/>
      <c r="C119" s="37" t="s">
        <v>1664</v>
      </c>
      <c r="D119" s="628">
        <f>D87+D100+D111+D117</f>
        <v>9963.43</v>
      </c>
      <c r="E119" s="628">
        <f>E87+E100+E111+E117</f>
        <v>1384.26</v>
      </c>
      <c r="F119" s="628">
        <f>F87+F100+F111+F117</f>
        <v>51</v>
      </c>
      <c r="G119" s="182">
        <f>SUM(D119:F119)</f>
        <v>11398.69</v>
      </c>
      <c r="H119" s="7"/>
    </row>
    <row r="120" spans="1:7" ht="15.75" customHeight="1">
      <c r="A120" s="1479"/>
      <c r="B120" s="1520"/>
      <c r="C120" s="1520"/>
      <c r="D120" s="1521"/>
      <c r="E120" s="1521"/>
      <c r="F120" s="1521"/>
      <c r="G120" s="1560"/>
    </row>
    <row r="121" spans="1:7" ht="15.75" customHeight="1">
      <c r="A121" s="1484"/>
      <c r="B121" s="324"/>
      <c r="C121" s="324"/>
      <c r="D121" s="1561"/>
      <c r="E121" s="1561"/>
      <c r="F121" s="1561"/>
      <c r="G121" s="1562"/>
    </row>
    <row r="122" spans="1:8" ht="15.75" customHeight="1">
      <c r="A122" s="38">
        <v>588</v>
      </c>
      <c r="B122" s="37"/>
      <c r="C122" s="37" t="s">
        <v>1665</v>
      </c>
      <c r="D122" s="1519">
        <v>444</v>
      </c>
      <c r="E122" s="1519">
        <v>156</v>
      </c>
      <c r="F122" s="1519">
        <v>0</v>
      </c>
      <c r="G122" s="182">
        <f>SUM(D122:F122)</f>
        <v>600</v>
      </c>
      <c r="H122" s="1557"/>
    </row>
    <row r="123" spans="1:7" ht="15.75" customHeight="1">
      <c r="A123" s="1479"/>
      <c r="B123" s="1520"/>
      <c r="C123" s="1520"/>
      <c r="D123" s="1521"/>
      <c r="E123" s="1521"/>
      <c r="F123" s="1521"/>
      <c r="G123" s="779"/>
    </row>
    <row r="124" spans="1:7" ht="15.75" customHeight="1">
      <c r="A124" s="1484"/>
      <c r="B124" s="324"/>
      <c r="C124" s="324"/>
      <c r="D124" s="1561"/>
      <c r="E124" s="1561"/>
      <c r="F124" s="1561"/>
      <c r="G124" s="1552"/>
    </row>
    <row r="125" spans="1:8" ht="18.75" customHeight="1">
      <c r="A125" s="1522"/>
      <c r="B125" s="37"/>
      <c r="C125" s="37" t="s">
        <v>543</v>
      </c>
      <c r="D125" s="1519">
        <f>D63+D119+D122</f>
        <v>22653.32</v>
      </c>
      <c r="E125" s="1519">
        <f>E63+E119+E122</f>
        <v>16810.129999999997</v>
      </c>
      <c r="F125" s="1519">
        <f>F63+F119+F122</f>
        <v>2185.52</v>
      </c>
      <c r="G125" s="182">
        <f>SUM(D125:F125)</f>
        <v>41648.969999999994</v>
      </c>
      <c r="H125" s="7">
        <f>G63+G119+G122</f>
        <v>41648.97</v>
      </c>
    </row>
    <row r="126" spans="1:4" ht="15.75" customHeight="1">
      <c r="A126" s="1479"/>
      <c r="B126" s="1520"/>
      <c r="C126" s="1520"/>
      <c r="D126" s="1523"/>
    </row>
    <row r="127" spans="1:4" ht="15.75" customHeight="1">
      <c r="A127" s="1450"/>
      <c r="B127" s="1450"/>
      <c r="C127" s="778"/>
      <c r="D127" s="1498"/>
    </row>
    <row r="128" spans="1:4" ht="15.75" customHeight="1">
      <c r="A128" s="1450"/>
      <c r="B128" s="1450"/>
      <c r="C128" s="778"/>
      <c r="D128" s="1498"/>
    </row>
    <row r="129" spans="1:4" ht="15.75" customHeight="1">
      <c r="A129" s="1450"/>
      <c r="B129" s="1450"/>
      <c r="C129" s="778"/>
      <c r="D129" s="1498"/>
    </row>
    <row r="130" spans="1:4" ht="15.75" customHeight="1">
      <c r="A130" s="1496"/>
      <c r="B130" s="1496"/>
      <c r="C130" s="1525"/>
      <c r="D130" s="1524"/>
    </row>
    <row r="131" spans="1:4" ht="15.75" customHeight="1">
      <c r="A131" s="1496"/>
      <c r="B131" s="1496"/>
      <c r="C131" s="1525"/>
      <c r="D131" s="1524"/>
    </row>
    <row r="132" spans="1:4" ht="15.75" customHeight="1">
      <c r="A132" s="1496"/>
      <c r="B132" s="1496"/>
      <c r="C132" s="1525"/>
      <c r="D132" s="1524"/>
    </row>
    <row r="133" spans="1:7" ht="15.75" customHeight="1">
      <c r="A133" s="2886" t="s">
        <v>544</v>
      </c>
      <c r="B133" s="2886"/>
      <c r="C133" s="2886"/>
      <c r="D133" s="1564"/>
      <c r="E133" s="1565"/>
      <c r="F133" s="1566"/>
      <c r="G133"/>
    </row>
    <row r="134" spans="1:7" ht="15.75" customHeight="1">
      <c r="A134" s="1563"/>
      <c r="B134" s="1563"/>
      <c r="C134" s="1563"/>
      <c r="D134" s="1564"/>
      <c r="E134" s="1565"/>
      <c r="F134" s="1566"/>
      <c r="G134"/>
    </row>
    <row r="135" spans="1:7" ht="15.75" customHeight="1">
      <c r="A135" s="1563"/>
      <c r="B135" s="1563"/>
      <c r="C135" s="1567" t="s">
        <v>1108</v>
      </c>
      <c r="D135" s="1564"/>
      <c r="E135" s="1565"/>
      <c r="F135" s="1566"/>
      <c r="G135"/>
    </row>
    <row r="136" spans="1:7" ht="15.75" customHeight="1">
      <c r="A136" s="1563"/>
      <c r="B136" s="1563"/>
      <c r="C136" s="1567"/>
      <c r="D136" s="1564"/>
      <c r="E136" s="1565"/>
      <c r="F136" s="1566"/>
      <c r="G136"/>
    </row>
    <row r="137" spans="1:7" ht="15.75" customHeight="1">
      <c r="A137" s="2879" t="s">
        <v>516</v>
      </c>
      <c r="B137" s="2546"/>
      <c r="C137" s="2546"/>
      <c r="D137" s="2546"/>
      <c r="E137" s="2546"/>
      <c r="F137" s="2546"/>
      <c r="G137" s="2546"/>
    </row>
    <row r="138" spans="1:7" ht="15.75" customHeight="1">
      <c r="A138" s="2879"/>
      <c r="B138" s="2546"/>
      <c r="C138" s="2546"/>
      <c r="D138" s="2546"/>
      <c r="E138" s="2546"/>
      <c r="F138" s="2546"/>
      <c r="G138" s="2546"/>
    </row>
    <row r="139" spans="1:7" ht="15.75" customHeight="1">
      <c r="A139" s="2879" t="s">
        <v>545</v>
      </c>
      <c r="B139" s="2546"/>
      <c r="C139" s="2546"/>
      <c r="D139" s="2546"/>
      <c r="E139" s="2546"/>
      <c r="F139" s="2546"/>
      <c r="G139" s="2546"/>
    </row>
    <row r="140" spans="1:7" ht="15.75" customHeight="1">
      <c r="A140" s="868"/>
      <c r="B140" s="1012"/>
      <c r="C140" s="1012"/>
      <c r="D140" s="2887"/>
      <c r="E140" s="2887"/>
      <c r="F140" s="2887"/>
      <c r="G140" s="1012"/>
    </row>
    <row r="141" spans="1:7" ht="15.75" customHeight="1">
      <c r="A141" s="2880" t="s">
        <v>163</v>
      </c>
      <c r="B141" s="2881"/>
      <c r="C141" s="2877" t="s">
        <v>818</v>
      </c>
      <c r="D141" s="2857">
        <v>852011</v>
      </c>
      <c r="E141" s="2859">
        <v>852021</v>
      </c>
      <c r="F141" s="2859">
        <v>855911</v>
      </c>
      <c r="G141" s="2868" t="s">
        <v>1433</v>
      </c>
    </row>
    <row r="142" spans="1:7" ht="12.75">
      <c r="A142" s="2882"/>
      <c r="B142" s="2883"/>
      <c r="C142" s="2878"/>
      <c r="D142" s="2858"/>
      <c r="E142" s="2859"/>
      <c r="F142" s="2859"/>
      <c r="G142" s="2868"/>
    </row>
    <row r="143" spans="1:7" ht="15.75">
      <c r="A143" s="2884"/>
      <c r="B143" s="2885"/>
      <c r="C143" s="1568" t="s">
        <v>546</v>
      </c>
      <c r="D143" s="1534" t="s">
        <v>1109</v>
      </c>
      <c r="E143" s="1534" t="s">
        <v>1109</v>
      </c>
      <c r="F143" s="1534" t="s">
        <v>1109</v>
      </c>
      <c r="G143" s="1534" t="s">
        <v>1109</v>
      </c>
    </row>
    <row r="144" spans="1:13" ht="18">
      <c r="A144" s="1569" t="s">
        <v>821</v>
      </c>
      <c r="B144" s="1569" t="s">
        <v>822</v>
      </c>
      <c r="C144" s="1530"/>
      <c r="D144" s="1530"/>
      <c r="E144" s="1530"/>
      <c r="F144" s="1530"/>
      <c r="G144" s="1570"/>
      <c r="H144" s="1571"/>
      <c r="I144" s="1571"/>
      <c r="J144" s="1571"/>
      <c r="K144" s="1571"/>
      <c r="L144" s="1571"/>
      <c r="M144" s="1571"/>
    </row>
    <row r="145" spans="1:13" ht="15.75">
      <c r="A145" s="5"/>
      <c r="B145" s="5"/>
      <c r="C145" s="1572" t="s">
        <v>547</v>
      </c>
      <c r="D145" s="1573"/>
      <c r="E145" s="1574"/>
      <c r="F145" s="1575"/>
      <c r="G145" s="5"/>
      <c r="H145" s="1410"/>
      <c r="I145" s="1410"/>
      <c r="J145" s="1410"/>
      <c r="K145" s="1410"/>
      <c r="L145" s="1410"/>
      <c r="M145" s="1410"/>
    </row>
    <row r="146" spans="1:13" ht="15.75">
      <c r="A146" s="1576"/>
      <c r="B146" s="1576"/>
      <c r="C146" s="1455"/>
      <c r="D146" s="1573"/>
      <c r="E146" s="1574"/>
      <c r="F146" s="1577"/>
      <c r="G146" s="171"/>
      <c r="H146" s="1452"/>
      <c r="I146" s="1452"/>
      <c r="J146" s="1452"/>
      <c r="K146" s="1452"/>
      <c r="L146" s="1452"/>
      <c r="M146" s="1000"/>
    </row>
    <row r="147" spans="1:13" ht="18" customHeight="1">
      <c r="A147" s="1462">
        <v>91311</v>
      </c>
      <c r="B147" s="1462">
        <v>91321</v>
      </c>
      <c r="C147" s="1462" t="s">
        <v>1101</v>
      </c>
      <c r="D147" s="1531"/>
      <c r="E147" s="1531"/>
      <c r="F147" s="1531"/>
      <c r="G147" s="5"/>
      <c r="H147" s="1410"/>
      <c r="I147" s="1410"/>
      <c r="J147" s="1410"/>
      <c r="K147" s="1410"/>
      <c r="L147" s="1410"/>
      <c r="M147" s="1410"/>
    </row>
    <row r="148" spans="1:13" ht="18" customHeight="1">
      <c r="A148" s="1462"/>
      <c r="B148" s="1462"/>
      <c r="C148" s="1462" t="s">
        <v>1102</v>
      </c>
      <c r="D148" s="1531"/>
      <c r="E148" s="1531"/>
      <c r="F148" s="1531"/>
      <c r="G148" s="171"/>
      <c r="H148" s="1452"/>
      <c r="I148" s="1452"/>
      <c r="J148" s="1452"/>
      <c r="K148" s="1452"/>
      <c r="L148" s="1452"/>
      <c r="M148" s="1000"/>
    </row>
    <row r="149" spans="1:13" ht="18" customHeight="1">
      <c r="A149" s="37">
        <v>91312</v>
      </c>
      <c r="B149" s="37">
        <v>91322</v>
      </c>
      <c r="C149" s="37" t="s">
        <v>548</v>
      </c>
      <c r="D149" s="182">
        <v>1214</v>
      </c>
      <c r="E149" s="182"/>
      <c r="F149" s="182"/>
      <c r="G149" s="182">
        <f>SUM(D149:F149)</f>
        <v>1214</v>
      </c>
      <c r="H149" s="1578"/>
      <c r="I149" s="1578"/>
      <c r="J149" s="1578"/>
      <c r="K149" s="1578"/>
      <c r="L149" s="1578"/>
      <c r="M149" s="1579"/>
    </row>
    <row r="150" spans="1:13" ht="18" customHeight="1">
      <c r="A150" s="1462"/>
      <c r="B150" s="1462"/>
      <c r="C150" s="1533" t="s">
        <v>1104</v>
      </c>
      <c r="D150" s="1531"/>
      <c r="E150" s="1531"/>
      <c r="F150" s="1531"/>
      <c r="G150" s="1462"/>
      <c r="H150" s="1578"/>
      <c r="I150" s="1578"/>
      <c r="J150" s="1578"/>
      <c r="K150" s="1578"/>
      <c r="L150" s="1578"/>
      <c r="M150" s="1525"/>
    </row>
    <row r="151" spans="1:13" ht="18" customHeight="1">
      <c r="A151" s="1462"/>
      <c r="B151" s="1462"/>
      <c r="C151" s="1533"/>
      <c r="D151" s="1531"/>
      <c r="E151" s="1531"/>
      <c r="F151" s="1531"/>
      <c r="G151" s="1462"/>
      <c r="H151" s="1578"/>
      <c r="I151" s="1578"/>
      <c r="J151" s="1578"/>
      <c r="K151" s="1578"/>
      <c r="L151" s="1578"/>
      <c r="M151" s="1525"/>
    </row>
    <row r="152" spans="1:13" ht="18" customHeight="1">
      <c r="A152" s="1462">
        <v>91313</v>
      </c>
      <c r="B152" s="1462">
        <v>91323</v>
      </c>
      <c r="C152" s="1462" t="s">
        <v>1105</v>
      </c>
      <c r="D152" s="1531"/>
      <c r="E152" s="1531"/>
      <c r="F152" s="1531"/>
      <c r="G152" s="1580"/>
      <c r="H152" s="1579"/>
      <c r="I152" s="1579"/>
      <c r="J152" s="1579"/>
      <c r="K152" s="1579"/>
      <c r="L152" s="1579"/>
      <c r="M152" s="1410"/>
    </row>
    <row r="153" spans="1:13" ht="18" customHeight="1">
      <c r="A153" s="1462"/>
      <c r="B153" s="1462"/>
      <c r="C153" s="1462" t="s">
        <v>1106</v>
      </c>
      <c r="D153" s="1531"/>
      <c r="E153" s="1531"/>
      <c r="F153" s="1531"/>
      <c r="G153" s="1580"/>
      <c r="H153" s="1579"/>
      <c r="I153" s="1579"/>
      <c r="J153" s="1579"/>
      <c r="K153" s="1579"/>
      <c r="L153" s="1579"/>
      <c r="M153" s="1410"/>
    </row>
    <row r="154" spans="1:13" ht="18" customHeight="1">
      <c r="A154" s="1462"/>
      <c r="B154" s="1462"/>
      <c r="C154" s="1462"/>
      <c r="D154" s="1531"/>
      <c r="E154" s="1531"/>
      <c r="F154" s="1531"/>
      <c r="G154" s="1580"/>
      <c r="H154" s="1579"/>
      <c r="I154" s="1579"/>
      <c r="J154" s="1579"/>
      <c r="K154" s="1579"/>
      <c r="L154" s="1579"/>
      <c r="M154" s="1410"/>
    </row>
    <row r="155" spans="1:13" ht="18" customHeight="1">
      <c r="A155" s="37">
        <v>91913</v>
      </c>
      <c r="B155" s="37">
        <v>91923</v>
      </c>
      <c r="C155" s="37" t="s">
        <v>549</v>
      </c>
      <c r="D155" s="182">
        <f>D149*27/100</f>
        <v>327.78</v>
      </c>
      <c r="E155" s="182"/>
      <c r="F155" s="182"/>
      <c r="G155" s="182">
        <f>SUM(D155:F155)</f>
        <v>327.78</v>
      </c>
      <c r="H155" s="1579"/>
      <c r="I155" s="1579"/>
      <c r="J155" s="1579"/>
      <c r="K155" s="1579"/>
      <c r="L155" s="1579"/>
      <c r="M155" s="1410"/>
    </row>
    <row r="156" spans="1:13" ht="18" customHeight="1">
      <c r="A156" s="1462"/>
      <c r="B156" s="1462"/>
      <c r="C156" s="1462" t="s">
        <v>550</v>
      </c>
      <c r="D156" s="1531"/>
      <c r="E156" s="1531"/>
      <c r="F156" s="1531"/>
      <c r="G156" s="5"/>
      <c r="H156" s="1410"/>
      <c r="I156" s="1410"/>
      <c r="J156" s="1410"/>
      <c r="K156" s="1410"/>
      <c r="L156" s="1410"/>
      <c r="M156" s="1410"/>
    </row>
    <row r="157" spans="1:13" ht="18" customHeight="1">
      <c r="A157" s="1462"/>
      <c r="B157" s="1462"/>
      <c r="C157" s="1462"/>
      <c r="D157" s="1531"/>
      <c r="E157" s="1531"/>
      <c r="F157" s="1531"/>
      <c r="G157" s="5"/>
      <c r="H157" s="1410"/>
      <c r="I157" s="1410"/>
      <c r="J157" s="1410"/>
      <c r="K157" s="1410"/>
      <c r="L157" s="1410"/>
      <c r="M157" s="1410"/>
    </row>
    <row r="158" spans="1:13" ht="18" customHeight="1">
      <c r="A158" s="38">
        <v>46114</v>
      </c>
      <c r="B158" s="37" t="s">
        <v>1107</v>
      </c>
      <c r="C158" s="37"/>
      <c r="D158" s="182"/>
      <c r="E158" s="182">
        <v>1776</v>
      </c>
      <c r="F158" s="182"/>
      <c r="G158" s="182">
        <f>SUM(D158:F158)</f>
        <v>1776</v>
      </c>
      <c r="H158" s="1410"/>
      <c r="I158" s="1410"/>
      <c r="J158" s="1410"/>
      <c r="K158" s="1410"/>
      <c r="L158" s="1410"/>
      <c r="M158" s="1410"/>
    </row>
    <row r="159" spans="1:13" ht="18" customHeight="1">
      <c r="A159" s="38"/>
      <c r="B159" s="37"/>
      <c r="C159" s="1462"/>
      <c r="D159" s="1531"/>
      <c r="E159" s="1531"/>
      <c r="F159" s="1531"/>
      <c r="G159" s="5"/>
      <c r="H159" s="1410"/>
      <c r="I159" s="1410"/>
      <c r="J159" s="1410"/>
      <c r="K159" s="1410"/>
      <c r="L159" s="1410"/>
      <c r="M159" s="1410"/>
    </row>
    <row r="160" spans="1:13" ht="18" customHeight="1">
      <c r="A160" s="38"/>
      <c r="B160" s="37"/>
      <c r="C160" s="1462"/>
      <c r="D160" s="1531"/>
      <c r="E160" s="1531"/>
      <c r="F160" s="1531"/>
      <c r="G160" s="5"/>
      <c r="H160" s="1410"/>
      <c r="I160" s="1410"/>
      <c r="J160" s="1410"/>
      <c r="K160" s="1410"/>
      <c r="L160" s="1410"/>
      <c r="M160" s="1410"/>
    </row>
    <row r="161" spans="1:13" ht="18" customHeight="1">
      <c r="A161" s="1462"/>
      <c r="B161" s="37" t="s">
        <v>1382</v>
      </c>
      <c r="C161" s="1462"/>
      <c r="D161" s="182">
        <f>SUM(D145:D160)</f>
        <v>1541.78</v>
      </c>
      <c r="E161" s="182">
        <f>SUM(E145:E160)</f>
        <v>1776</v>
      </c>
      <c r="F161" s="182">
        <f>SUM(F145:F160)</f>
        <v>0</v>
      </c>
      <c r="G161" s="182">
        <f>SUM(D161:F161)</f>
        <v>3317.7799999999997</v>
      </c>
      <c r="H161" s="1410"/>
      <c r="I161" s="1410"/>
      <c r="J161" s="1410"/>
      <c r="K161" s="1410"/>
      <c r="L161" s="1410"/>
      <c r="M161" s="1410"/>
    </row>
    <row r="162" spans="1:13" ht="14.25">
      <c r="A162" s="1581"/>
      <c r="B162" s="1581"/>
      <c r="C162" s="1581"/>
      <c r="D162" s="1582"/>
      <c r="E162" s="1583"/>
      <c r="F162" s="1583"/>
      <c r="G162"/>
      <c r="H162" s="1410"/>
      <c r="I162" s="1410"/>
      <c r="J162" s="1410"/>
      <c r="K162" s="1410"/>
      <c r="L162" s="1410"/>
      <c r="M162" s="1410"/>
    </row>
    <row r="163" spans="8:13" ht="12.75">
      <c r="H163" s="1410"/>
      <c r="I163" s="1410"/>
      <c r="J163" s="1410"/>
      <c r="K163" s="1410"/>
      <c r="L163" s="1410"/>
      <c r="M163" s="1410"/>
    </row>
    <row r="164" spans="8:13" ht="12.75">
      <c r="H164" s="1410"/>
      <c r="I164" s="1410"/>
      <c r="J164" s="1410"/>
      <c r="K164" s="1410"/>
      <c r="L164" s="1410"/>
      <c r="M164" s="1410"/>
    </row>
  </sheetData>
  <sheetProtection/>
  <mergeCells count="39">
    <mergeCell ref="A68:D68"/>
    <mergeCell ref="D6:D7"/>
    <mergeCell ref="A2:G2"/>
    <mergeCell ref="A4:G4"/>
    <mergeCell ref="H6:H7"/>
    <mergeCell ref="E6:E7"/>
    <mergeCell ref="A8:B8"/>
    <mergeCell ref="F6:F7"/>
    <mergeCell ref="G6:G7"/>
    <mergeCell ref="E141:E142"/>
    <mergeCell ref="A1:C1"/>
    <mergeCell ref="A6:B7"/>
    <mergeCell ref="C6:C7"/>
    <mergeCell ref="A5:D5"/>
    <mergeCell ref="A3:D3"/>
    <mergeCell ref="C71:C72"/>
    <mergeCell ref="A69:G69"/>
    <mergeCell ref="D9:G9"/>
    <mergeCell ref="A65:G65"/>
    <mergeCell ref="E71:E72"/>
    <mergeCell ref="A67:G67"/>
    <mergeCell ref="A143:B143"/>
    <mergeCell ref="A133:C133"/>
    <mergeCell ref="A138:G138"/>
    <mergeCell ref="A139:G139"/>
    <mergeCell ref="D140:F140"/>
    <mergeCell ref="A71:B72"/>
    <mergeCell ref="G71:G72"/>
    <mergeCell ref="D74:G74"/>
    <mergeCell ref="G141:G142"/>
    <mergeCell ref="A66:D66"/>
    <mergeCell ref="D141:D142"/>
    <mergeCell ref="C141:C142"/>
    <mergeCell ref="F141:F142"/>
    <mergeCell ref="F71:F72"/>
    <mergeCell ref="A137:G137"/>
    <mergeCell ref="D71:D72"/>
    <mergeCell ref="A141:B142"/>
    <mergeCell ref="A73:B73"/>
  </mergeCells>
  <printOptions/>
  <pageMargins left="0.984251968503937" right="0.7874015748031497" top="0.7874015748031497" bottom="0.3937007874015748" header="0.5118110236220472" footer="0.5118110236220472"/>
  <pageSetup horizontalDpi="600" verticalDpi="600" orientation="portrait" pageOrder="overThenDown" paperSize="9" scale="71" r:id="rId1"/>
  <headerFooter alignWithMargins="0">
    <oddHeader>&amp;LCsurgói Városi Iskolák és Óvodák
8840 Csurgó, Kossuth utca 3.</oddHeader>
  </headerFooter>
  <rowBreaks count="2" manualBreakCount="2">
    <brk id="63" max="6" man="1"/>
    <brk id="129" max="6" man="1"/>
  </rowBreaks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40"/>
  </sheetPr>
  <dimension ref="A1:P169"/>
  <sheetViews>
    <sheetView view="pageBreakPreview" zoomScaleSheetLayoutView="100" zoomScalePageLayoutView="0" workbookViewId="0" topLeftCell="A136">
      <selection activeCell="I52" sqref="I52"/>
    </sheetView>
  </sheetViews>
  <sheetFormatPr defaultColWidth="9.140625" defaultRowHeight="12.75"/>
  <cols>
    <col min="1" max="1" width="9.421875" style="0" customWidth="1"/>
    <col min="2" max="2" width="9.57421875" style="0" customWidth="1"/>
    <col min="3" max="3" width="46.57421875" style="0" customWidth="1"/>
    <col min="4" max="4" width="10.57421875" style="7" customWidth="1"/>
    <col min="5" max="5" width="11.00390625" style="7" customWidth="1"/>
    <col min="6" max="6" width="10.7109375" style="7" customWidth="1"/>
    <col min="7" max="7" width="10.28125" style="7" customWidth="1"/>
    <col min="8" max="8" width="9.140625" style="0" hidden="1" customWidth="1"/>
  </cols>
  <sheetData>
    <row r="1" spans="1:7" ht="15.75">
      <c r="A1" s="2866"/>
      <c r="B1" s="2866"/>
      <c r="C1" s="2866"/>
      <c r="D1" s="309"/>
      <c r="E1" s="309"/>
      <c r="F1" s="309"/>
      <c r="G1" s="309"/>
    </row>
    <row r="2" spans="1:7" ht="18">
      <c r="A2" s="2528" t="s">
        <v>405</v>
      </c>
      <c r="B2" s="2528"/>
      <c r="C2" s="2528"/>
      <c r="D2" s="2535"/>
      <c r="E2" s="2535"/>
      <c r="F2" s="2535"/>
      <c r="G2" s="2535"/>
    </row>
    <row r="3" spans="1:7" ht="15.75">
      <c r="A3" s="1452"/>
      <c r="B3" s="1452"/>
      <c r="C3" s="1452"/>
      <c r="D3" s="1584"/>
      <c r="E3" s="1584"/>
      <c r="F3" s="1584"/>
      <c r="G3" s="1584"/>
    </row>
    <row r="4" spans="1:7" ht="18">
      <c r="A4" s="2888" t="s">
        <v>406</v>
      </c>
      <c r="B4" s="2889"/>
      <c r="C4" s="2889"/>
      <c r="D4" s="2889"/>
      <c r="E4" s="2889"/>
      <c r="F4" s="2889"/>
      <c r="G4" s="2889"/>
    </row>
    <row r="5" spans="1:7" ht="15.75">
      <c r="A5" s="1453"/>
      <c r="B5" s="1454"/>
      <c r="C5" s="1454"/>
      <c r="D5" s="1586"/>
      <c r="E5" s="1586"/>
      <c r="F5" s="1586"/>
      <c r="G5" s="1586"/>
    </row>
    <row r="6" spans="1:10" ht="12.75" customHeight="1">
      <c r="A6" s="2860" t="s">
        <v>163</v>
      </c>
      <c r="B6" s="2861"/>
      <c r="C6" s="2860" t="s">
        <v>818</v>
      </c>
      <c r="D6" s="2892">
        <v>852011</v>
      </c>
      <c r="E6" s="2892">
        <v>852021</v>
      </c>
      <c r="F6" s="2890">
        <v>855911</v>
      </c>
      <c r="G6" s="2890" t="s">
        <v>1433</v>
      </c>
      <c r="J6" s="527"/>
    </row>
    <row r="7" spans="1:7" ht="18" customHeight="1">
      <c r="A7" s="2862"/>
      <c r="B7" s="2863"/>
      <c r="C7" s="2871"/>
      <c r="D7" s="2893"/>
      <c r="E7" s="2893"/>
      <c r="F7" s="2894"/>
      <c r="G7" s="2891"/>
    </row>
    <row r="8" spans="1:7" ht="15.75" customHeight="1">
      <c r="A8" s="2864"/>
      <c r="B8" s="2865"/>
      <c r="C8" s="1587" t="s">
        <v>929</v>
      </c>
      <c r="D8" s="1588" t="s">
        <v>915</v>
      </c>
      <c r="E8" s="1588" t="s">
        <v>915</v>
      </c>
      <c r="F8" s="1589" t="s">
        <v>407</v>
      </c>
      <c r="G8" s="1588" t="s">
        <v>408</v>
      </c>
    </row>
    <row r="9" spans="1:7" ht="15.75" customHeight="1">
      <c r="A9" s="4" t="s">
        <v>821</v>
      </c>
      <c r="B9" s="4" t="s">
        <v>822</v>
      </c>
      <c r="C9" s="1459" t="s">
        <v>409</v>
      </c>
      <c r="D9" s="1590">
        <v>8</v>
      </c>
      <c r="E9" s="1591" t="s">
        <v>410</v>
      </c>
      <c r="F9" s="1590">
        <v>1</v>
      </c>
      <c r="G9" s="1592">
        <v>18</v>
      </c>
    </row>
    <row r="10" spans="1:7" ht="15.75" customHeight="1">
      <c r="A10" s="5"/>
      <c r="B10" s="5"/>
      <c r="C10" s="1593"/>
      <c r="D10" s="1590"/>
      <c r="E10" s="1590"/>
      <c r="F10" s="1590"/>
      <c r="G10" s="1592">
        <f>SUM(D10:F10)</f>
        <v>0</v>
      </c>
    </row>
    <row r="11" spans="1:7" ht="15.75" customHeight="1">
      <c r="A11" s="106"/>
      <c r="B11" s="106"/>
      <c r="C11" s="1463" t="s">
        <v>931</v>
      </c>
      <c r="D11" s="1594"/>
      <c r="E11" s="1594"/>
      <c r="F11" s="1594"/>
      <c r="G11" s="1592"/>
    </row>
    <row r="12" spans="1:7" ht="15.75" customHeight="1">
      <c r="A12" s="550"/>
      <c r="B12" s="550"/>
      <c r="C12" s="1465" t="s">
        <v>932</v>
      </c>
      <c r="D12" s="1595">
        <v>16175</v>
      </c>
      <c r="E12" s="1595">
        <v>21072</v>
      </c>
      <c r="F12" s="1596">
        <v>1994</v>
      </c>
      <c r="G12" s="1592">
        <f aca="true" t="shared" si="0" ref="G12:G24">SUM(D12:F12)</f>
        <v>39241</v>
      </c>
    </row>
    <row r="13" spans="1:7" ht="15.75" customHeight="1">
      <c r="A13" s="662"/>
      <c r="B13" s="662"/>
      <c r="C13" s="662"/>
      <c r="D13" s="1597"/>
      <c r="E13" s="1597"/>
      <c r="F13" s="657"/>
      <c r="G13" s="1592"/>
    </row>
    <row r="14" spans="1:7" ht="15.75" customHeight="1">
      <c r="A14" s="662"/>
      <c r="B14" s="662"/>
      <c r="C14" s="662" t="s">
        <v>411</v>
      </c>
      <c r="D14" s="1597"/>
      <c r="E14" s="1597">
        <v>1707</v>
      </c>
      <c r="F14" s="657"/>
      <c r="G14" s="1592">
        <f t="shared" si="0"/>
        <v>1707</v>
      </c>
    </row>
    <row r="15" spans="1:7" ht="15.75" customHeight="1">
      <c r="A15" s="663">
        <v>511112</v>
      </c>
      <c r="B15" s="662">
        <v>511212</v>
      </c>
      <c r="C15" s="663" t="s">
        <v>934</v>
      </c>
      <c r="D15" s="1598">
        <f>SUM(D12:D14)</f>
        <v>16175</v>
      </c>
      <c r="E15" s="1598">
        <f>SUM(E12:E14)</f>
        <v>22779</v>
      </c>
      <c r="F15" s="1598">
        <f>SUM(F12:F14)</f>
        <v>1994</v>
      </c>
      <c r="G15" s="1598">
        <f t="shared" si="0"/>
        <v>40948</v>
      </c>
    </row>
    <row r="16" spans="1:7" ht="15.75" customHeight="1">
      <c r="A16" s="663"/>
      <c r="B16" s="662"/>
      <c r="C16" s="662" t="s">
        <v>936</v>
      </c>
      <c r="D16" s="1599"/>
      <c r="E16" s="1597">
        <v>480</v>
      </c>
      <c r="F16" s="1599"/>
      <c r="G16" s="1597">
        <f t="shared" si="0"/>
        <v>480</v>
      </c>
    </row>
    <row r="17" spans="1:7" ht="15.75" customHeight="1">
      <c r="A17" s="662"/>
      <c r="B17" s="662"/>
      <c r="C17" s="662" t="s">
        <v>937</v>
      </c>
      <c r="D17" s="1597">
        <v>384</v>
      </c>
      <c r="E17" s="1597">
        <v>480</v>
      </c>
      <c r="F17" s="657">
        <v>0</v>
      </c>
      <c r="G17" s="1600">
        <f t="shared" si="0"/>
        <v>864</v>
      </c>
    </row>
    <row r="18" spans="1:7" ht="15.75" customHeight="1">
      <c r="A18" s="662"/>
      <c r="B18" s="662"/>
      <c r="C18" s="662" t="s">
        <v>938</v>
      </c>
      <c r="D18" s="1597"/>
      <c r="E18" s="1597">
        <v>72</v>
      </c>
      <c r="F18" s="657">
        <v>0</v>
      </c>
      <c r="G18" s="1592">
        <f t="shared" si="0"/>
        <v>72</v>
      </c>
    </row>
    <row r="19" spans="1:7" ht="15.75" customHeight="1">
      <c r="A19" s="662"/>
      <c r="B19" s="662"/>
      <c r="C19" s="662" t="s">
        <v>939</v>
      </c>
      <c r="D19" s="1597"/>
      <c r="E19" s="1597"/>
      <c r="F19" s="657">
        <v>0</v>
      </c>
      <c r="G19" s="1592">
        <f t="shared" si="0"/>
        <v>0</v>
      </c>
    </row>
    <row r="20" spans="1:7" ht="15.75" customHeight="1">
      <c r="A20" s="662"/>
      <c r="B20" s="662"/>
      <c r="C20" s="662" t="s">
        <v>940</v>
      </c>
      <c r="D20" s="1597">
        <v>72</v>
      </c>
      <c r="E20" s="1597">
        <v>72</v>
      </c>
      <c r="F20" s="657">
        <v>0</v>
      </c>
      <c r="G20" s="1592">
        <f t="shared" si="0"/>
        <v>144</v>
      </c>
    </row>
    <row r="21" spans="1:7" ht="15.75" customHeight="1">
      <c r="A21" s="662"/>
      <c r="B21" s="662"/>
      <c r="C21" s="662" t="s">
        <v>941</v>
      </c>
      <c r="D21" s="1597"/>
      <c r="E21" s="1597"/>
      <c r="F21" s="657">
        <v>0</v>
      </c>
      <c r="G21" s="1592">
        <f t="shared" si="0"/>
        <v>0</v>
      </c>
    </row>
    <row r="22" spans="1:7" ht="15.75" customHeight="1">
      <c r="A22" s="662"/>
      <c r="B22" s="662"/>
      <c r="C22" s="662" t="s">
        <v>412</v>
      </c>
      <c r="D22" s="1597"/>
      <c r="E22" s="1597">
        <v>120</v>
      </c>
      <c r="F22" s="657">
        <v>0</v>
      </c>
      <c r="G22" s="1592">
        <f t="shared" si="0"/>
        <v>120</v>
      </c>
    </row>
    <row r="23" spans="1:7" ht="15.75" customHeight="1">
      <c r="A23" s="662"/>
      <c r="B23" s="662"/>
      <c r="C23" s="662" t="s">
        <v>411</v>
      </c>
      <c r="D23" s="1597"/>
      <c r="E23" s="1597">
        <v>184</v>
      </c>
      <c r="F23" s="657"/>
      <c r="G23" s="1592">
        <f t="shared" si="0"/>
        <v>184</v>
      </c>
    </row>
    <row r="24" spans="1:7" ht="15.75" customHeight="1">
      <c r="A24" s="663">
        <v>511142</v>
      </c>
      <c r="B24" s="662">
        <v>511242</v>
      </c>
      <c r="C24" s="663" t="s">
        <v>413</v>
      </c>
      <c r="D24" s="1599">
        <f>SUM(D16:D23)</f>
        <v>456</v>
      </c>
      <c r="E24" s="1599">
        <f>SUM(E16:E23)</f>
        <v>1408</v>
      </c>
      <c r="F24" s="1599">
        <f>SUM(F16:F23)</f>
        <v>0</v>
      </c>
      <c r="G24" s="1601">
        <f t="shared" si="0"/>
        <v>1864</v>
      </c>
    </row>
    <row r="25" spans="1:7" ht="15.75" customHeight="1">
      <c r="A25" s="662"/>
      <c r="B25" s="662"/>
      <c r="C25" s="663"/>
      <c r="D25" s="1602"/>
      <c r="E25" s="1602"/>
      <c r="F25" s="1599"/>
      <c r="G25" s="1603"/>
    </row>
    <row r="26" spans="1:7" ht="15.75" customHeight="1">
      <c r="A26" s="663">
        <v>512132</v>
      </c>
      <c r="B26" s="662">
        <v>512232</v>
      </c>
      <c r="C26" s="663" t="s">
        <v>944</v>
      </c>
      <c r="D26" s="1599">
        <v>510</v>
      </c>
      <c r="E26" s="1599">
        <v>462</v>
      </c>
      <c r="F26" s="1599">
        <v>130</v>
      </c>
      <c r="G26" s="1601">
        <f>SUM(D26:F26)</f>
        <v>1102</v>
      </c>
    </row>
    <row r="27" spans="1:7" ht="15.75" customHeight="1">
      <c r="A27" s="663"/>
      <c r="B27" s="662"/>
      <c r="C27" s="663"/>
      <c r="D27" s="1602"/>
      <c r="E27" s="1602"/>
      <c r="F27" s="1599"/>
      <c r="G27" s="1603"/>
    </row>
    <row r="28" spans="1:7" ht="15.75" customHeight="1">
      <c r="A28" s="663">
        <v>512142</v>
      </c>
      <c r="B28" s="662">
        <v>512242</v>
      </c>
      <c r="C28" s="663" t="s">
        <v>945</v>
      </c>
      <c r="D28" s="1599">
        <v>60</v>
      </c>
      <c r="E28" s="1599">
        <v>80</v>
      </c>
      <c r="F28" s="1599">
        <v>20</v>
      </c>
      <c r="G28" s="1601">
        <f aca="true" t="shared" si="1" ref="G28:G34">SUM(D28:F28)</f>
        <v>160</v>
      </c>
    </row>
    <row r="29" spans="1:7" ht="15.75" customHeight="1">
      <c r="A29" s="662"/>
      <c r="B29" s="662"/>
      <c r="C29" s="662" t="s">
        <v>414</v>
      </c>
      <c r="D29" s="1597">
        <v>150</v>
      </c>
      <c r="E29" s="1597">
        <v>100</v>
      </c>
      <c r="F29" s="657">
        <v>20</v>
      </c>
      <c r="G29" s="1600">
        <f t="shared" si="1"/>
        <v>270</v>
      </c>
    </row>
    <row r="30" spans="1:7" ht="15.75" customHeight="1">
      <c r="A30" s="662"/>
      <c r="B30" s="662"/>
      <c r="C30" s="662" t="s">
        <v>946</v>
      </c>
      <c r="D30" s="1597">
        <v>504</v>
      </c>
      <c r="E30" s="1597">
        <v>504</v>
      </c>
      <c r="F30" s="657">
        <v>63</v>
      </c>
      <c r="G30" s="1600">
        <f t="shared" si="1"/>
        <v>1071</v>
      </c>
    </row>
    <row r="31" spans="1:7" ht="15.75" customHeight="1">
      <c r="A31" s="662"/>
      <c r="B31" s="662"/>
      <c r="C31" s="662"/>
      <c r="D31" s="1597"/>
      <c r="E31" s="1597"/>
      <c r="F31" s="657"/>
      <c r="G31" s="1600"/>
    </row>
    <row r="32" spans="1:7" ht="15.75" customHeight="1">
      <c r="A32" s="662"/>
      <c r="B32" s="662"/>
      <c r="C32" s="662" t="s">
        <v>411</v>
      </c>
      <c r="D32" s="1597"/>
      <c r="E32" s="1597">
        <v>19</v>
      </c>
      <c r="F32" s="657"/>
      <c r="G32" s="1600">
        <f t="shared" si="1"/>
        <v>19</v>
      </c>
    </row>
    <row r="33" spans="1:7" ht="15.75" customHeight="1">
      <c r="A33" s="662"/>
      <c r="B33" s="662"/>
      <c r="C33" s="662"/>
      <c r="D33" s="1597"/>
      <c r="E33" s="1597"/>
      <c r="F33" s="657"/>
      <c r="G33" s="1600">
        <f t="shared" si="1"/>
        <v>0</v>
      </c>
    </row>
    <row r="34" spans="1:7" ht="15.75" customHeight="1">
      <c r="A34" s="663">
        <v>512192</v>
      </c>
      <c r="B34" s="662">
        <v>512292</v>
      </c>
      <c r="C34" s="663" t="s">
        <v>415</v>
      </c>
      <c r="D34" s="1598">
        <f>SUM(D26:D33)</f>
        <v>1224</v>
      </c>
      <c r="E34" s="1598">
        <f>SUM(E26:E33)</f>
        <v>1165</v>
      </c>
      <c r="F34" s="1598">
        <f>SUM(F26:F33)</f>
        <v>233</v>
      </c>
      <c r="G34" s="1604">
        <f t="shared" si="1"/>
        <v>2622</v>
      </c>
    </row>
    <row r="35" spans="1:7" ht="15.75" customHeight="1">
      <c r="A35" s="662"/>
      <c r="B35" s="662"/>
      <c r="C35" s="663"/>
      <c r="D35" s="1602"/>
      <c r="E35" s="1602"/>
      <c r="F35" s="1599"/>
      <c r="G35" s="1605"/>
    </row>
    <row r="36" spans="1:7" ht="15.75" customHeight="1">
      <c r="A36" s="663">
        <v>513112</v>
      </c>
      <c r="B36" s="662">
        <v>513212</v>
      </c>
      <c r="C36" s="663" t="s">
        <v>1405</v>
      </c>
      <c r="D36" s="1602"/>
      <c r="E36" s="1602"/>
      <c r="F36" s="1599"/>
      <c r="G36" s="1606">
        <f>SUM(D36:F36)</f>
        <v>0</v>
      </c>
    </row>
    <row r="37" spans="1:7" ht="15.75" customHeight="1">
      <c r="A37" s="662"/>
      <c r="B37" s="662"/>
      <c r="C37" s="663"/>
      <c r="D37" s="1602"/>
      <c r="E37" s="1602"/>
      <c r="F37" s="1599"/>
      <c r="G37" s="1605"/>
    </row>
    <row r="38" spans="1:7" ht="15.75" customHeight="1">
      <c r="A38" s="663">
        <v>513122</v>
      </c>
      <c r="B38" s="662">
        <v>513222</v>
      </c>
      <c r="C38" s="663" t="s">
        <v>416</v>
      </c>
      <c r="D38" s="1607">
        <v>0</v>
      </c>
      <c r="E38" s="1598">
        <v>100</v>
      </c>
      <c r="F38" s="1607">
        <v>0</v>
      </c>
      <c r="G38" s="1604">
        <f>SUM(D38:F38)</f>
        <v>100</v>
      </c>
    </row>
    <row r="39" spans="1:7" ht="15.75" customHeight="1">
      <c r="A39" s="662"/>
      <c r="B39" s="662"/>
      <c r="C39" s="663"/>
      <c r="D39" s="1602"/>
      <c r="E39" s="1602"/>
      <c r="F39" s="1599"/>
      <c r="G39" s="1605"/>
    </row>
    <row r="40" spans="1:7" ht="15.75" customHeight="1">
      <c r="A40" s="663">
        <v>513132</v>
      </c>
      <c r="B40" s="662">
        <v>513232</v>
      </c>
      <c r="C40" s="663" t="s">
        <v>949</v>
      </c>
      <c r="D40" s="1599">
        <v>12</v>
      </c>
      <c r="E40" s="1599">
        <v>14</v>
      </c>
      <c r="F40" s="1599">
        <v>2</v>
      </c>
      <c r="G40" s="1606">
        <f>SUM(D40:F40)</f>
        <v>28</v>
      </c>
    </row>
    <row r="41" spans="1:7" ht="15.75" customHeight="1">
      <c r="A41" s="663"/>
      <c r="B41" s="662"/>
      <c r="C41" s="663"/>
      <c r="D41" s="1602"/>
      <c r="E41" s="1602"/>
      <c r="F41" s="1599"/>
      <c r="G41" s="1605"/>
    </row>
    <row r="42" spans="1:7" ht="15.75" customHeight="1">
      <c r="A42" s="663">
        <v>513192</v>
      </c>
      <c r="B42" s="662">
        <v>513292</v>
      </c>
      <c r="C42" s="663" t="s">
        <v>950</v>
      </c>
      <c r="D42" s="1599">
        <v>50</v>
      </c>
      <c r="E42" s="1599">
        <v>51</v>
      </c>
      <c r="F42" s="1599">
        <v>6</v>
      </c>
      <c r="G42" s="1606">
        <f>SUM(D42:F42)</f>
        <v>107</v>
      </c>
    </row>
    <row r="43" spans="1:7" ht="15.75" customHeight="1">
      <c r="A43" s="663"/>
      <c r="B43" s="662"/>
      <c r="C43" s="663"/>
      <c r="D43" s="1602"/>
      <c r="E43" s="1602"/>
      <c r="F43" s="1599"/>
      <c r="G43" s="1605"/>
    </row>
    <row r="44" spans="1:7" ht="15.75" customHeight="1">
      <c r="A44" s="663">
        <v>514132</v>
      </c>
      <c r="B44" s="662">
        <v>514232</v>
      </c>
      <c r="C44" s="663" t="s">
        <v>951</v>
      </c>
      <c r="D44" s="1599">
        <v>55</v>
      </c>
      <c r="E44" s="1599">
        <v>170</v>
      </c>
      <c r="F44" s="1599">
        <v>0</v>
      </c>
      <c r="G44" s="1606">
        <f>SUM(D44:F44)</f>
        <v>225</v>
      </c>
    </row>
    <row r="45" spans="1:7" ht="15.75" customHeight="1">
      <c r="A45" s="663"/>
      <c r="B45" s="662"/>
      <c r="C45" s="663"/>
      <c r="D45" s="1602"/>
      <c r="E45" s="1602"/>
      <c r="F45" s="1599"/>
      <c r="G45" s="1605"/>
    </row>
    <row r="46" spans="1:7" ht="15.75" customHeight="1">
      <c r="A46" s="663">
        <v>514142</v>
      </c>
      <c r="B46" s="662">
        <v>514242</v>
      </c>
      <c r="C46" s="663" t="s">
        <v>952</v>
      </c>
      <c r="D46" s="1599">
        <v>0</v>
      </c>
      <c r="E46" s="1599">
        <v>0</v>
      </c>
      <c r="F46" s="1599">
        <v>0</v>
      </c>
      <c r="G46" s="1606">
        <f>SUM(D46:F46)</f>
        <v>0</v>
      </c>
    </row>
    <row r="47" spans="1:7" ht="15.75" customHeight="1">
      <c r="A47" s="663"/>
      <c r="B47" s="662"/>
      <c r="C47" s="663"/>
      <c r="D47" s="1602"/>
      <c r="E47" s="1602"/>
      <c r="F47" s="1599"/>
      <c r="G47" s="1605"/>
    </row>
    <row r="48" spans="1:7" ht="15.75" customHeight="1">
      <c r="A48" s="663">
        <v>514192</v>
      </c>
      <c r="B48" s="662">
        <v>514292</v>
      </c>
      <c r="C48" s="1541" t="s">
        <v>417</v>
      </c>
      <c r="D48" s="1599">
        <v>0</v>
      </c>
      <c r="E48" s="1599">
        <v>0</v>
      </c>
      <c r="F48" s="1599">
        <v>0</v>
      </c>
      <c r="G48" s="1606">
        <f>SUM(D48:F48)</f>
        <v>0</v>
      </c>
    </row>
    <row r="49" spans="1:7" ht="15.75" customHeight="1">
      <c r="A49" s="662"/>
      <c r="B49" s="662"/>
      <c r="C49" s="663"/>
      <c r="D49" s="1602"/>
      <c r="E49" s="1602"/>
      <c r="F49" s="1599"/>
      <c r="G49" s="1605"/>
    </row>
    <row r="50" spans="1:7" ht="15.75" customHeight="1">
      <c r="A50" s="662">
        <v>51</v>
      </c>
      <c r="B50" s="662"/>
      <c r="C50" s="663" t="s">
        <v>165</v>
      </c>
      <c r="D50" s="1599">
        <f>D15+D24+D34+D40+D42+D44+D46+D48</f>
        <v>17972</v>
      </c>
      <c r="E50" s="1599">
        <f>E15+E24+E34+E38+E40+E42+E44</f>
        <v>25687</v>
      </c>
      <c r="F50" s="1599">
        <f>F15+F24+F34+F40+F42+F44+F46+F48</f>
        <v>2235</v>
      </c>
      <c r="G50" s="1606">
        <f>SUM(D50:F50)</f>
        <v>45894</v>
      </c>
    </row>
    <row r="51" spans="1:7" ht="15.75" customHeight="1">
      <c r="A51" s="663"/>
      <c r="B51" s="662"/>
      <c r="C51" s="663"/>
      <c r="D51" s="1602"/>
      <c r="E51" s="1602"/>
      <c r="F51" s="1599"/>
      <c r="G51" s="1605"/>
    </row>
    <row r="52" spans="1:7" ht="15.75" customHeight="1">
      <c r="A52" s="38">
        <v>52211</v>
      </c>
      <c r="B52" s="550">
        <v>52221</v>
      </c>
      <c r="C52" s="38" t="s">
        <v>887</v>
      </c>
      <c r="D52" s="1608"/>
      <c r="E52" s="1608">
        <v>351</v>
      </c>
      <c r="F52" s="548">
        <v>0</v>
      </c>
      <c r="G52" s="1592">
        <f>SUM(D52:F52)</f>
        <v>351</v>
      </c>
    </row>
    <row r="53" spans="1:7" ht="15.75" customHeight="1">
      <c r="A53" s="550">
        <v>52217</v>
      </c>
      <c r="B53" s="550">
        <v>52227</v>
      </c>
      <c r="C53" s="38" t="s">
        <v>955</v>
      </c>
      <c r="D53" s="1608">
        <v>0</v>
      </c>
      <c r="E53" s="1608"/>
      <c r="F53" s="548">
        <v>0</v>
      </c>
      <c r="G53" s="1592">
        <f>SUM(D53:F53)</f>
        <v>0</v>
      </c>
    </row>
    <row r="54" spans="1:7" ht="15.75" customHeight="1">
      <c r="A54" s="550">
        <v>52</v>
      </c>
      <c r="B54" s="550"/>
      <c r="C54" s="38" t="s">
        <v>325</v>
      </c>
      <c r="D54" s="1598">
        <f>D52+D53</f>
        <v>0</v>
      </c>
      <c r="E54" s="1598">
        <f>E52+E53</f>
        <v>351</v>
      </c>
      <c r="F54" s="1598">
        <f>F52+F53</f>
        <v>0</v>
      </c>
      <c r="G54" s="1604">
        <f>SUM(D54:F54)</f>
        <v>351</v>
      </c>
    </row>
    <row r="55" spans="1:7" ht="15.75" customHeight="1">
      <c r="A55" s="38"/>
      <c r="B55" s="550"/>
      <c r="C55" s="38"/>
      <c r="D55" s="1609"/>
      <c r="E55" s="1609"/>
      <c r="F55" s="1610"/>
      <c r="G55" s="1609"/>
    </row>
    <row r="56" spans="1:7" ht="18.75" customHeight="1">
      <c r="A56" s="2895" t="s">
        <v>418</v>
      </c>
      <c r="B56" s="2896"/>
      <c r="C56" s="2897"/>
      <c r="D56" s="1611">
        <f>D50+D54</f>
        <v>17972</v>
      </c>
      <c r="E56" s="1611">
        <f>E50+E54</f>
        <v>26038</v>
      </c>
      <c r="F56" s="1611">
        <f>F50+F52+F53+F54</f>
        <v>2235</v>
      </c>
      <c r="G56" s="1611">
        <f>SUM(D56:F56)</f>
        <v>46245</v>
      </c>
    </row>
    <row r="57" spans="1:16" ht="18.75" customHeight="1">
      <c r="A57" s="2899" t="s">
        <v>419</v>
      </c>
      <c r="B57" s="2900"/>
      <c r="C57" s="1612"/>
      <c r="D57" s="1613"/>
      <c r="E57" s="1613"/>
      <c r="F57" s="1613"/>
      <c r="G57" s="1613"/>
      <c r="J57" s="1410"/>
      <c r="K57" s="1614"/>
      <c r="L57" s="333"/>
      <c r="M57" s="1450"/>
      <c r="N57" s="1410"/>
      <c r="O57" s="1410"/>
      <c r="P57" s="1410"/>
    </row>
    <row r="58" spans="1:7" ht="18.75" customHeight="1">
      <c r="A58" s="343"/>
      <c r="B58" s="1615"/>
      <c r="C58" s="333" t="s">
        <v>420</v>
      </c>
      <c r="D58" s="1450"/>
      <c r="E58"/>
      <c r="F58"/>
      <c r="G58"/>
    </row>
    <row r="59" spans="1:7" ht="15.75" customHeight="1">
      <c r="A59" s="1616"/>
      <c r="B59" s="1617"/>
      <c r="C59" s="1618"/>
      <c r="D59" s="1619"/>
      <c r="E59" s="1619"/>
      <c r="F59" s="1620"/>
      <c r="G59" s="1619"/>
    </row>
    <row r="60" spans="1:11" ht="15.75" customHeight="1">
      <c r="A60" s="1489">
        <v>53111</v>
      </c>
      <c r="B60" s="1494">
        <v>53121</v>
      </c>
      <c r="C60" s="1490" t="s">
        <v>838</v>
      </c>
      <c r="D60" s="1621">
        <f>I60*27/100</f>
        <v>4820.85</v>
      </c>
      <c r="E60" s="1621">
        <f>J60*27/100</f>
        <v>6966.81</v>
      </c>
      <c r="F60" s="1621">
        <f>K60*27/100</f>
        <v>601.29</v>
      </c>
      <c r="G60" s="1606">
        <f>SUM(D60:F60)</f>
        <v>12388.95</v>
      </c>
      <c r="I60" s="254">
        <f>D15+D24+D34+D38+D54</f>
        <v>17855</v>
      </c>
      <c r="J60" s="254">
        <f>E15+E24+E34+E38+E54</f>
        <v>25803</v>
      </c>
      <c r="K60" s="254">
        <f>F15+F24+F34+F38+F54</f>
        <v>2227</v>
      </c>
    </row>
    <row r="61" spans="1:7" ht="15.75" customHeight="1">
      <c r="A61" s="1489"/>
      <c r="B61" s="1494"/>
      <c r="C61" s="662" t="s">
        <v>411</v>
      </c>
      <c r="D61" s="1622"/>
      <c r="E61" s="1622">
        <v>545</v>
      </c>
      <c r="F61" s="1622"/>
      <c r="G61" s="1606">
        <f>SUM(D61:F61)</f>
        <v>545</v>
      </c>
    </row>
    <row r="62" spans="1:7" ht="15.75" customHeight="1">
      <c r="A62" s="1489"/>
      <c r="B62" s="1494"/>
      <c r="C62" s="1489"/>
      <c r="D62" s="1623"/>
      <c r="E62" s="1623"/>
      <c r="F62" s="1623"/>
      <c r="G62" s="1606"/>
    </row>
    <row r="63" spans="1:9" ht="18.75" customHeight="1">
      <c r="A63" s="1624">
        <v>53</v>
      </c>
      <c r="B63" s="2898" t="s">
        <v>421</v>
      </c>
      <c r="C63" s="2897"/>
      <c r="D63" s="1625">
        <f>SUM(D60:D62)</f>
        <v>4820.85</v>
      </c>
      <c r="E63" s="1625">
        <f>SUM(E60:E62)</f>
        <v>7511.81</v>
      </c>
      <c r="F63" s="1625">
        <f>SUM(F60:F62)</f>
        <v>601.29</v>
      </c>
      <c r="G63" s="1625">
        <f>D63+E63+F63</f>
        <v>12933.95</v>
      </c>
      <c r="I63" s="7">
        <f>G60+G61</f>
        <v>12933.95</v>
      </c>
    </row>
    <row r="64" spans="1:7" ht="18.75" customHeight="1">
      <c r="A64" s="1626"/>
      <c r="B64" s="1627"/>
      <c r="C64" s="1628"/>
      <c r="D64" s="1629"/>
      <c r="E64" s="1629"/>
      <c r="F64" s="1629"/>
      <c r="G64" s="1630"/>
    </row>
    <row r="65" spans="1:7" ht="18.75" customHeight="1">
      <c r="A65" s="1631"/>
      <c r="B65" s="1632"/>
      <c r="C65" s="1633"/>
      <c r="D65" s="1634"/>
      <c r="E65" s="1634"/>
      <c r="F65" s="1634"/>
      <c r="G65" s="1635"/>
    </row>
    <row r="66" spans="1:9" ht="18.75" customHeight="1">
      <c r="A66" s="2901" t="s">
        <v>1635</v>
      </c>
      <c r="B66" s="2902"/>
      <c r="C66" s="2902"/>
      <c r="D66" s="1625">
        <f>D56+D63</f>
        <v>22792.85</v>
      </c>
      <c r="E66" s="1625">
        <f>E56+E63</f>
        <v>33549.81</v>
      </c>
      <c r="F66" s="1625">
        <f>F56+F63</f>
        <v>2836.29</v>
      </c>
      <c r="G66" s="1611">
        <f>SUM(D66:F66)</f>
        <v>59178.95</v>
      </c>
      <c r="I66" s="7"/>
    </row>
    <row r="67" spans="1:7" ht="18.75" customHeight="1">
      <c r="A67" s="1636"/>
      <c r="B67" s="1637"/>
      <c r="C67" s="1637"/>
      <c r="D67" s="1638"/>
      <c r="E67" s="1638"/>
      <c r="F67" s="1638"/>
      <c r="G67" s="1639" t="s">
        <v>422</v>
      </c>
    </row>
    <row r="68" spans="1:7" ht="18.75" customHeight="1">
      <c r="A68" s="1636"/>
      <c r="B68" s="1637"/>
      <c r="C68" s="1637"/>
      <c r="D68" s="1638"/>
      <c r="E68" s="1638"/>
      <c r="F68" s="1638"/>
      <c r="G68" s="1640"/>
    </row>
    <row r="69" spans="1:9" ht="15.75" customHeight="1">
      <c r="A69" s="2528" t="s">
        <v>405</v>
      </c>
      <c r="B69" s="2528"/>
      <c r="C69" s="2528"/>
      <c r="D69" s="2535"/>
      <c r="E69" s="2535"/>
      <c r="F69" s="2535"/>
      <c r="G69" s="2535"/>
      <c r="I69" s="30"/>
    </row>
    <row r="70" spans="1:7" ht="15.75" customHeight="1">
      <c r="A70" s="1452"/>
      <c r="B70" s="1452"/>
      <c r="C70" s="1452"/>
      <c r="D70" s="1584"/>
      <c r="E70" s="1584"/>
      <c r="F70" s="1584"/>
      <c r="G70" s="1584"/>
    </row>
    <row r="71" spans="1:9" ht="15.75" customHeight="1">
      <c r="A71" s="2888" t="s">
        <v>406</v>
      </c>
      <c r="B71" s="2889"/>
      <c r="C71" s="2889"/>
      <c r="D71" s="2889"/>
      <c r="E71" s="2889"/>
      <c r="F71" s="2889"/>
      <c r="G71" s="2889"/>
      <c r="H71" s="1585"/>
      <c r="I71" s="1585"/>
    </row>
    <row r="72" spans="1:7" ht="15.75" customHeight="1">
      <c r="A72" s="1452"/>
      <c r="B72" s="1452"/>
      <c r="C72" s="1452"/>
      <c r="D72" s="1584"/>
      <c r="E72" s="1584"/>
      <c r="F72" s="1584"/>
      <c r="G72" s="1584"/>
    </row>
    <row r="73" spans="1:7" ht="15.75" customHeight="1">
      <c r="A73" s="2869" t="s">
        <v>1636</v>
      </c>
      <c r="B73" s="2870"/>
      <c r="C73" s="2870"/>
      <c r="D73" s="2870"/>
      <c r="E73" s="2870"/>
      <c r="F73" s="2870"/>
      <c r="G73" s="2870"/>
    </row>
    <row r="74" spans="1:7" ht="15.75" customHeight="1">
      <c r="A74" s="1502"/>
      <c r="B74" s="1502"/>
      <c r="C74" s="1502"/>
      <c r="D74" s="1641"/>
      <c r="E74" s="1641"/>
      <c r="F74" s="1641"/>
      <c r="G74" s="1642"/>
    </row>
    <row r="75" spans="1:7" ht="15.75" customHeight="1">
      <c r="A75" s="2860" t="s">
        <v>163</v>
      </c>
      <c r="B75" s="2861"/>
      <c r="C75" s="2860" t="s">
        <v>818</v>
      </c>
      <c r="D75" s="2892">
        <v>852011</v>
      </c>
      <c r="E75" s="2892">
        <v>852021</v>
      </c>
      <c r="F75" s="2890">
        <v>855911</v>
      </c>
      <c r="G75" s="2890" t="s">
        <v>1433</v>
      </c>
    </row>
    <row r="76" spans="1:7" ht="15.75" customHeight="1">
      <c r="A76" s="2862"/>
      <c r="B76" s="2863"/>
      <c r="C76" s="2871"/>
      <c r="D76" s="2893"/>
      <c r="E76" s="2893"/>
      <c r="F76" s="2894"/>
      <c r="G76" s="2891"/>
    </row>
    <row r="77" spans="1:7" ht="15.75" customHeight="1">
      <c r="A77" s="2864"/>
      <c r="B77" s="2865"/>
      <c r="C77" s="1587" t="s">
        <v>929</v>
      </c>
      <c r="D77" s="1588" t="s">
        <v>915</v>
      </c>
      <c r="E77" s="1588" t="s">
        <v>915</v>
      </c>
      <c r="F77" s="1589" t="s">
        <v>407</v>
      </c>
      <c r="G77" s="1588" t="s">
        <v>408</v>
      </c>
    </row>
    <row r="78" spans="1:7" ht="15.75" customHeight="1">
      <c r="A78" s="4" t="s">
        <v>821</v>
      </c>
      <c r="B78" s="4" t="s">
        <v>822</v>
      </c>
      <c r="C78" s="1459" t="s">
        <v>511</v>
      </c>
      <c r="D78" s="1590"/>
      <c r="E78" s="1590"/>
      <c r="F78" s="1590"/>
      <c r="G78" s="1592"/>
    </row>
    <row r="79" spans="1:7" ht="15.75" customHeight="1">
      <c r="A79" s="38"/>
      <c r="B79" s="550"/>
      <c r="C79" s="1490"/>
      <c r="D79" s="1608"/>
      <c r="E79" s="1608"/>
      <c r="F79" s="1608"/>
      <c r="G79" s="1592"/>
    </row>
    <row r="80" spans="1:7" ht="15.75" customHeight="1">
      <c r="A80" s="550">
        <v>5411</v>
      </c>
      <c r="B80" s="550">
        <v>5412</v>
      </c>
      <c r="C80" s="550" t="s">
        <v>1637</v>
      </c>
      <c r="D80" s="1608">
        <v>0</v>
      </c>
      <c r="E80" s="1608"/>
      <c r="F80" s="1608">
        <v>0</v>
      </c>
      <c r="G80" s="1592">
        <f aca="true" t="shared" si="2" ref="G80:G91">SUM(D80:F80)</f>
        <v>0</v>
      </c>
    </row>
    <row r="81" spans="1:7" ht="15.75" customHeight="1">
      <c r="A81" s="38">
        <v>54211</v>
      </c>
      <c r="B81" s="550">
        <v>5422</v>
      </c>
      <c r="C81" s="550" t="s">
        <v>2083</v>
      </c>
      <c r="D81" s="1608">
        <v>0</v>
      </c>
      <c r="E81" s="1608">
        <v>30</v>
      </c>
      <c r="F81" s="1608"/>
      <c r="G81" s="1605">
        <f t="shared" si="2"/>
        <v>30</v>
      </c>
    </row>
    <row r="82" spans="1:7" ht="15.75" customHeight="1">
      <c r="A82" s="38">
        <v>5431</v>
      </c>
      <c r="B82" s="550">
        <v>5432</v>
      </c>
      <c r="C82" s="106" t="s">
        <v>1472</v>
      </c>
      <c r="D82" s="1608">
        <v>0</v>
      </c>
      <c r="E82" s="1608">
        <v>350</v>
      </c>
      <c r="F82" s="1608"/>
      <c r="G82" s="1605">
        <f t="shared" si="2"/>
        <v>350</v>
      </c>
    </row>
    <row r="83" spans="1:7" ht="15.75" customHeight="1">
      <c r="A83" s="38">
        <v>54411</v>
      </c>
      <c r="B83" s="550">
        <v>54421</v>
      </c>
      <c r="C83" s="106" t="s">
        <v>1473</v>
      </c>
      <c r="D83" s="1608"/>
      <c r="E83" s="1608">
        <v>80</v>
      </c>
      <c r="F83" s="1608">
        <v>0</v>
      </c>
      <c r="G83" s="1605">
        <f t="shared" si="2"/>
        <v>80</v>
      </c>
    </row>
    <row r="84" spans="1:7" ht="15.75" customHeight="1">
      <c r="A84" s="38">
        <v>54412</v>
      </c>
      <c r="B84" s="550">
        <v>54422</v>
      </c>
      <c r="C84" s="106" t="s">
        <v>1638</v>
      </c>
      <c r="D84" s="1608">
        <v>0</v>
      </c>
      <c r="E84" s="1608">
        <v>60</v>
      </c>
      <c r="F84" s="1608"/>
      <c r="G84" s="1605">
        <f t="shared" si="2"/>
        <v>60</v>
      </c>
    </row>
    <row r="85" spans="1:7" ht="15.75" customHeight="1">
      <c r="A85" s="550">
        <v>54413</v>
      </c>
      <c r="B85" s="550">
        <v>54423</v>
      </c>
      <c r="C85" s="106" t="s">
        <v>423</v>
      </c>
      <c r="D85" s="1608">
        <v>0</v>
      </c>
      <c r="E85" s="1608"/>
      <c r="F85" s="1608">
        <v>0</v>
      </c>
      <c r="G85" s="1592">
        <f t="shared" si="2"/>
        <v>0</v>
      </c>
    </row>
    <row r="86" spans="1:7" ht="15.75" customHeight="1">
      <c r="A86" s="550">
        <v>5451</v>
      </c>
      <c r="B86" s="550">
        <v>5452</v>
      </c>
      <c r="C86" s="106" t="s">
        <v>1639</v>
      </c>
      <c r="D86" s="1608">
        <v>0</v>
      </c>
      <c r="E86" s="1608"/>
      <c r="F86" s="1608">
        <v>0</v>
      </c>
      <c r="G86" s="1592">
        <f t="shared" si="2"/>
        <v>0</v>
      </c>
    </row>
    <row r="87" spans="1:7" ht="15.75" customHeight="1">
      <c r="A87" s="38">
        <v>5461</v>
      </c>
      <c r="B87" s="550">
        <v>5462</v>
      </c>
      <c r="C87" s="106" t="s">
        <v>1640</v>
      </c>
      <c r="D87" s="1608">
        <v>0</v>
      </c>
      <c r="E87" s="1608"/>
      <c r="F87" s="1608"/>
      <c r="G87" s="1605">
        <f t="shared" si="2"/>
        <v>0</v>
      </c>
    </row>
    <row r="88" spans="1:7" ht="15.75" customHeight="1">
      <c r="A88" s="38">
        <v>54711</v>
      </c>
      <c r="B88" s="550">
        <v>54721</v>
      </c>
      <c r="C88" s="106" t="s">
        <v>424</v>
      </c>
      <c r="D88" s="1608"/>
      <c r="E88" s="1608">
        <v>250</v>
      </c>
      <c r="F88" s="1608">
        <v>0</v>
      </c>
      <c r="G88" s="1605">
        <f t="shared" si="2"/>
        <v>250</v>
      </c>
    </row>
    <row r="89" spans="1:7" ht="15.75" customHeight="1">
      <c r="A89" s="38">
        <v>54712</v>
      </c>
      <c r="B89" s="550">
        <v>54722</v>
      </c>
      <c r="C89" s="106" t="s">
        <v>425</v>
      </c>
      <c r="D89" s="1608"/>
      <c r="E89" s="1608">
        <v>200</v>
      </c>
      <c r="F89" s="1608"/>
      <c r="G89" s="1605">
        <f t="shared" si="2"/>
        <v>200</v>
      </c>
    </row>
    <row r="90" spans="1:7" ht="15.75" customHeight="1">
      <c r="A90" s="38">
        <v>5481</v>
      </c>
      <c r="B90" s="550">
        <v>5482</v>
      </c>
      <c r="C90" s="106" t="s">
        <v>1273</v>
      </c>
      <c r="D90" s="1608"/>
      <c r="E90" s="1608"/>
      <c r="F90" s="1608"/>
      <c r="G90" s="1605">
        <f t="shared" si="2"/>
        <v>0</v>
      </c>
    </row>
    <row r="91" spans="1:7" ht="15.75" customHeight="1">
      <c r="A91" s="38">
        <v>5491</v>
      </c>
      <c r="B91" s="550">
        <v>5492</v>
      </c>
      <c r="C91" s="106" t="s">
        <v>847</v>
      </c>
      <c r="D91" s="1608">
        <v>0</v>
      </c>
      <c r="E91" s="1608">
        <v>900</v>
      </c>
      <c r="F91" s="1608"/>
      <c r="G91" s="1605">
        <f t="shared" si="2"/>
        <v>900</v>
      </c>
    </row>
    <row r="92" spans="1:7" ht="15.75" customHeight="1">
      <c r="A92" s="550"/>
      <c r="B92" s="550"/>
      <c r="C92" s="106"/>
      <c r="D92" s="1608"/>
      <c r="E92" s="1608"/>
      <c r="F92" s="1608"/>
      <c r="G92" s="1592"/>
    </row>
    <row r="93" spans="1:7" ht="15.75" customHeight="1">
      <c r="A93" s="550">
        <v>54</v>
      </c>
      <c r="B93" s="549"/>
      <c r="C93" s="106" t="s">
        <v>1122</v>
      </c>
      <c r="D93" s="1608">
        <f>SUM(D80:D92)</f>
        <v>0</v>
      </c>
      <c r="E93" s="1608">
        <f>SUM(E80:E92)</f>
        <v>1870</v>
      </c>
      <c r="F93" s="1608">
        <f>SUM(F80:F91)</f>
        <v>0</v>
      </c>
      <c r="G93" s="1592">
        <f>SUM(G80:G92)</f>
        <v>1870</v>
      </c>
    </row>
    <row r="94" spans="1:7" ht="15.75" customHeight="1">
      <c r="A94" s="38"/>
      <c r="B94" s="549"/>
      <c r="C94" s="37"/>
      <c r="D94" s="1609"/>
      <c r="E94" s="1609"/>
      <c r="F94" s="1609"/>
      <c r="G94" s="1605"/>
    </row>
    <row r="95" spans="1:7" ht="15.75" customHeight="1">
      <c r="A95" s="38">
        <v>55111</v>
      </c>
      <c r="B95" s="550">
        <v>55211</v>
      </c>
      <c r="C95" s="106" t="s">
        <v>426</v>
      </c>
      <c r="D95" s="1608">
        <v>0</v>
      </c>
      <c r="E95" s="1608">
        <v>130</v>
      </c>
      <c r="F95" s="1608"/>
      <c r="G95" s="1605">
        <f aca="true" t="shared" si="3" ref="G95:G101">SUM(D95:F95)</f>
        <v>130</v>
      </c>
    </row>
    <row r="96" spans="1:7" ht="15.75" customHeight="1">
      <c r="A96" s="663">
        <v>55213</v>
      </c>
      <c r="B96" s="662">
        <v>55223</v>
      </c>
      <c r="C96" s="547" t="s">
        <v>1902</v>
      </c>
      <c r="D96" s="1597">
        <v>0</v>
      </c>
      <c r="E96" s="1597">
        <v>150</v>
      </c>
      <c r="F96" s="1597"/>
      <c r="G96" s="1605">
        <f t="shared" si="3"/>
        <v>150</v>
      </c>
    </row>
    <row r="97" spans="1:7" ht="15.75" customHeight="1">
      <c r="A97" s="663">
        <v>55214</v>
      </c>
      <c r="B97" s="662">
        <v>55224</v>
      </c>
      <c r="C97" s="547" t="s">
        <v>1646</v>
      </c>
      <c r="D97" s="1597">
        <v>0</v>
      </c>
      <c r="E97" s="1597">
        <v>5000</v>
      </c>
      <c r="F97" s="1597"/>
      <c r="G97" s="1605">
        <f t="shared" si="3"/>
        <v>5000</v>
      </c>
    </row>
    <row r="98" spans="1:7" ht="15.75" customHeight="1">
      <c r="A98" s="663">
        <v>55215</v>
      </c>
      <c r="B98" s="662">
        <v>55225</v>
      </c>
      <c r="C98" s="547" t="s">
        <v>1647</v>
      </c>
      <c r="D98" s="1597">
        <v>0</v>
      </c>
      <c r="E98" s="1597">
        <v>1000</v>
      </c>
      <c r="F98" s="1597"/>
      <c r="G98" s="1605">
        <f t="shared" si="3"/>
        <v>1000</v>
      </c>
    </row>
    <row r="99" spans="1:7" ht="15.75" customHeight="1">
      <c r="A99" s="663">
        <v>55217</v>
      </c>
      <c r="B99" s="662">
        <v>55227</v>
      </c>
      <c r="C99" s="547" t="s">
        <v>1649</v>
      </c>
      <c r="D99" s="1597">
        <v>0</v>
      </c>
      <c r="E99" s="1597">
        <v>480</v>
      </c>
      <c r="F99" s="1597"/>
      <c r="G99" s="1605">
        <f t="shared" si="3"/>
        <v>480</v>
      </c>
    </row>
    <row r="100" spans="1:7" ht="15.75" customHeight="1">
      <c r="A100" s="663">
        <v>55218</v>
      </c>
      <c r="B100" s="662">
        <v>55228</v>
      </c>
      <c r="C100" s="547" t="s">
        <v>1650</v>
      </c>
      <c r="D100" s="1597">
        <v>0</v>
      </c>
      <c r="E100" s="1597">
        <v>70</v>
      </c>
      <c r="F100" s="1597"/>
      <c r="G100" s="1605">
        <f t="shared" si="3"/>
        <v>70</v>
      </c>
    </row>
    <row r="101" spans="1:7" ht="15.75" customHeight="1">
      <c r="A101" s="663">
        <v>55219</v>
      </c>
      <c r="B101" s="662">
        <v>55229</v>
      </c>
      <c r="C101" s="547" t="s">
        <v>1651</v>
      </c>
      <c r="D101" s="1597">
        <v>0</v>
      </c>
      <c r="E101" s="1597">
        <v>800</v>
      </c>
      <c r="F101" s="1597"/>
      <c r="G101" s="1605">
        <f t="shared" si="3"/>
        <v>800</v>
      </c>
    </row>
    <row r="102" spans="1:7" ht="15.75" customHeight="1">
      <c r="A102" s="662"/>
      <c r="B102" s="662"/>
      <c r="C102" s="547"/>
      <c r="D102" s="1597"/>
      <c r="E102" s="1597"/>
      <c r="F102" s="1597"/>
      <c r="G102" s="1592"/>
    </row>
    <row r="103" spans="1:7" ht="15.75" customHeight="1">
      <c r="A103" s="662">
        <v>55</v>
      </c>
      <c r="B103" s="1009"/>
      <c r="C103" s="547" t="s">
        <v>1124</v>
      </c>
      <c r="D103" s="1597">
        <v>0</v>
      </c>
      <c r="E103" s="1597">
        <f>SUM(E95:E102)</f>
        <v>7630</v>
      </c>
      <c r="F103" s="1597">
        <f>SUM(F95:F102)</f>
        <v>0</v>
      </c>
      <c r="G103" s="1592">
        <f>SUM(G95:G102)</f>
        <v>7630</v>
      </c>
    </row>
    <row r="104" spans="1:7" ht="15.75" customHeight="1">
      <c r="A104" s="662"/>
      <c r="B104" s="1009"/>
      <c r="C104" s="547"/>
      <c r="D104" s="1643"/>
      <c r="E104" s="1643"/>
      <c r="F104" s="1643"/>
      <c r="G104" s="1592"/>
    </row>
    <row r="105" spans="1:8" ht="15.75" customHeight="1">
      <c r="A105" s="663">
        <v>5531</v>
      </c>
      <c r="B105" s="662">
        <v>5532</v>
      </c>
      <c r="C105" s="1510" t="s">
        <v>427</v>
      </c>
      <c r="D105" s="1602"/>
      <c r="E105" s="1602"/>
      <c r="F105" s="1602"/>
      <c r="G105" s="1605">
        <f>SUM(D105:F105)</f>
        <v>0</v>
      </c>
      <c r="H105" s="7">
        <f>D93</f>
        <v>0</v>
      </c>
    </row>
    <row r="106" spans="1:8" ht="15.75" customHeight="1">
      <c r="A106" s="663"/>
      <c r="B106" s="662"/>
      <c r="C106" s="1510"/>
      <c r="D106" s="1602"/>
      <c r="E106" s="1602"/>
      <c r="F106" s="1602"/>
      <c r="G106" s="1605"/>
      <c r="H106" s="7"/>
    </row>
    <row r="107" spans="1:9" ht="15.75" customHeight="1">
      <c r="A107" s="1644">
        <v>56111</v>
      </c>
      <c r="B107" s="1475">
        <v>56121</v>
      </c>
      <c r="C107" s="1513" t="s">
        <v>1654</v>
      </c>
      <c r="D107" s="1597">
        <f>H105*0.2</f>
        <v>0</v>
      </c>
      <c r="E107" s="1597">
        <f>I107*27/100</f>
        <v>2565</v>
      </c>
      <c r="F107" s="1597">
        <f>H107*0.2</f>
        <v>0</v>
      </c>
      <c r="G107" s="1605">
        <f>SUM(D107:F107)</f>
        <v>2565</v>
      </c>
      <c r="H107" s="7">
        <f>F93+F103</f>
        <v>0</v>
      </c>
      <c r="I107" s="7">
        <f>E93+E103</f>
        <v>9500</v>
      </c>
    </row>
    <row r="108" spans="1:8" ht="15.75" customHeight="1">
      <c r="A108" s="38">
        <v>56211</v>
      </c>
      <c r="B108" s="550">
        <v>56211</v>
      </c>
      <c r="C108" s="547" t="s">
        <v>1400</v>
      </c>
      <c r="D108" s="1645">
        <v>0</v>
      </c>
      <c r="E108" s="1645">
        <v>93</v>
      </c>
      <c r="F108" s="1645">
        <v>0</v>
      </c>
      <c r="G108" s="1605">
        <f>SUM(D108:F108)</f>
        <v>93</v>
      </c>
      <c r="H108" s="7"/>
    </row>
    <row r="109" spans="1:8" ht="15.75" customHeight="1">
      <c r="A109" s="38">
        <v>56213</v>
      </c>
      <c r="B109" s="550">
        <v>56223</v>
      </c>
      <c r="C109" s="547" t="s">
        <v>428</v>
      </c>
      <c r="D109" s="1597">
        <v>0</v>
      </c>
      <c r="E109" s="1597"/>
      <c r="F109" s="1597">
        <v>0</v>
      </c>
      <c r="G109" s="1605">
        <f>SUM(D109:F109)</f>
        <v>0</v>
      </c>
      <c r="H109" s="7"/>
    </row>
    <row r="110" spans="1:7" ht="15.75" customHeight="1">
      <c r="A110" s="38">
        <v>5641</v>
      </c>
      <c r="B110" s="550">
        <v>5642</v>
      </c>
      <c r="C110" s="547" t="s">
        <v>429</v>
      </c>
      <c r="D110" s="1597"/>
      <c r="E110" s="1597">
        <v>760</v>
      </c>
      <c r="F110" s="1597">
        <v>0</v>
      </c>
      <c r="G110" s="1605">
        <f>SUM(D110:F110)</f>
        <v>760</v>
      </c>
    </row>
    <row r="111" spans="1:7" ht="15.75" customHeight="1">
      <c r="A111" s="550"/>
      <c r="B111" s="550"/>
      <c r="C111" s="547" t="s">
        <v>430</v>
      </c>
      <c r="D111" s="1597"/>
      <c r="E111" s="1597"/>
      <c r="F111" s="1597"/>
      <c r="G111" s="1592"/>
    </row>
    <row r="112" spans="1:7" ht="15.75" customHeight="1">
      <c r="A112" s="550">
        <v>56</v>
      </c>
      <c r="B112" s="550"/>
      <c r="C112" s="547" t="s">
        <v>1659</v>
      </c>
      <c r="D112" s="1597">
        <f>SUM(D107:D111)</f>
        <v>0</v>
      </c>
      <c r="E112" s="1597">
        <f>SUM(E107:E111)</f>
        <v>3418</v>
      </c>
      <c r="F112" s="1597">
        <v>0</v>
      </c>
      <c r="G112" s="1592">
        <f>SUM(D112:F112)</f>
        <v>3418</v>
      </c>
    </row>
    <row r="113" spans="1:7" ht="15.75" customHeight="1">
      <c r="A113" s="38"/>
      <c r="B113" s="550"/>
      <c r="C113" s="1510"/>
      <c r="D113" s="1602"/>
      <c r="E113" s="1602"/>
      <c r="F113" s="1602"/>
      <c r="G113" s="1605"/>
    </row>
    <row r="114" spans="1:7" ht="15.75" customHeight="1">
      <c r="A114" s="1489">
        <v>57119</v>
      </c>
      <c r="B114" s="1494">
        <v>57129</v>
      </c>
      <c r="C114" s="547" t="s">
        <v>1660</v>
      </c>
      <c r="D114" s="1646">
        <v>0</v>
      </c>
      <c r="E114" s="1646"/>
      <c r="F114" s="1646"/>
      <c r="G114" s="1647">
        <f>SUM(D114:F114)</f>
        <v>0</v>
      </c>
    </row>
    <row r="115" spans="1:7" ht="15.75" customHeight="1">
      <c r="A115" s="550">
        <v>57211</v>
      </c>
      <c r="B115" s="550">
        <v>57221</v>
      </c>
      <c r="C115" s="547" t="s">
        <v>1661</v>
      </c>
      <c r="D115" s="1597">
        <v>0</v>
      </c>
      <c r="E115" s="1597"/>
      <c r="F115" s="1597">
        <v>0</v>
      </c>
      <c r="G115" s="1646">
        <f>SUM(D115:F115)</f>
        <v>0</v>
      </c>
    </row>
    <row r="116" spans="1:7" ht="15.75" customHeight="1">
      <c r="A116" s="1558">
        <v>57213</v>
      </c>
      <c r="B116" s="1558">
        <v>57223</v>
      </c>
      <c r="C116" s="1648" t="s">
        <v>431</v>
      </c>
      <c r="D116" s="1649">
        <v>0</v>
      </c>
      <c r="E116" s="1649">
        <v>868</v>
      </c>
      <c r="F116" s="1649">
        <v>0</v>
      </c>
      <c r="G116" s="1650">
        <f>SUM(D116:F116)</f>
        <v>868</v>
      </c>
    </row>
    <row r="117" spans="1:7" ht="15.75" customHeight="1">
      <c r="A117" s="1651"/>
      <c r="B117" s="1651"/>
      <c r="C117" s="1652"/>
      <c r="D117" s="1653"/>
      <c r="E117" s="1653"/>
      <c r="F117" s="1653"/>
      <c r="G117" s="1646"/>
    </row>
    <row r="118" spans="1:7" ht="15.75" customHeight="1">
      <c r="A118" s="550">
        <v>57</v>
      </c>
      <c r="B118" s="106"/>
      <c r="C118" s="106" t="s">
        <v>1663</v>
      </c>
      <c r="D118" s="1608">
        <f>D114+D115+D116</f>
        <v>0</v>
      </c>
      <c r="E118" s="1608"/>
      <c r="F118" s="1608">
        <f>F114+F115+F116</f>
        <v>0</v>
      </c>
      <c r="G118" s="1646">
        <f>SUM(D118:F118)</f>
        <v>0</v>
      </c>
    </row>
    <row r="119" spans="1:7" ht="15.75" customHeight="1">
      <c r="A119" s="38"/>
      <c r="B119" s="37"/>
      <c r="C119" s="37"/>
      <c r="D119" s="1609"/>
      <c r="E119" s="1609"/>
      <c r="F119" s="1609"/>
      <c r="G119" s="1654"/>
    </row>
    <row r="120" spans="1:7" ht="18.75" customHeight="1">
      <c r="A120" s="1522"/>
      <c r="B120" s="1655"/>
      <c r="C120" s="553" t="s">
        <v>1478</v>
      </c>
      <c r="D120" s="1611">
        <f>D93+D103+D105+D112+D116</f>
        <v>0</v>
      </c>
      <c r="E120" s="1611">
        <f>E93+E103+E105+E112+E116</f>
        <v>13786</v>
      </c>
      <c r="F120" s="1611">
        <f>F93+F103+F105+F112+F116</f>
        <v>0</v>
      </c>
      <c r="G120" s="1656">
        <f>G93+G103+G112+G116</f>
        <v>13786</v>
      </c>
    </row>
    <row r="121" spans="1:7" ht="15.75" customHeight="1">
      <c r="A121" s="38"/>
      <c r="B121" s="37"/>
      <c r="C121" s="37"/>
      <c r="D121" s="1609"/>
      <c r="E121" s="1609"/>
      <c r="F121" s="1609"/>
      <c r="G121" s="1654"/>
    </row>
    <row r="122" spans="1:9" ht="18.75" customHeight="1">
      <c r="A122" s="1522">
        <v>58</v>
      </c>
      <c r="B122" s="1655"/>
      <c r="C122" s="1657" t="s">
        <v>1665</v>
      </c>
      <c r="D122" s="1611">
        <v>528</v>
      </c>
      <c r="E122" s="1611">
        <v>624</v>
      </c>
      <c r="F122" s="1611">
        <v>0</v>
      </c>
      <c r="G122" s="1656">
        <f>SUM(D122:F122)</f>
        <v>1152</v>
      </c>
      <c r="I122" s="7"/>
    </row>
    <row r="123" spans="1:7" ht="15.75" customHeight="1">
      <c r="A123" s="1479"/>
      <c r="B123" s="1520"/>
      <c r="C123" s="1520"/>
      <c r="D123" s="1658"/>
      <c r="E123" s="1658"/>
      <c r="F123" s="1658"/>
      <c r="G123" s="1659"/>
    </row>
    <row r="124" spans="1:7" ht="15.75" customHeight="1">
      <c r="A124" s="1450"/>
      <c r="B124" s="778"/>
      <c r="C124" s="778"/>
      <c r="D124" s="1660"/>
      <c r="E124" s="1660"/>
      <c r="F124" s="1660"/>
      <c r="G124" s="1661"/>
    </row>
    <row r="125" spans="1:7" ht="15.75" customHeight="1">
      <c r="A125" s="1484"/>
      <c r="B125" s="324"/>
      <c r="C125" s="324"/>
      <c r="D125" s="1619"/>
      <c r="E125" s="1619"/>
      <c r="F125" s="1619"/>
      <c r="G125" s="1662"/>
    </row>
    <row r="126" spans="1:9" ht="18.75" customHeight="1">
      <c r="A126" s="1522"/>
      <c r="B126" s="1655"/>
      <c r="C126" s="553" t="s">
        <v>1969</v>
      </c>
      <c r="D126" s="1663">
        <f>D56+D63+D120+D122</f>
        <v>23320.85</v>
      </c>
      <c r="E126" s="1663">
        <f>E56+E63+E120+E122</f>
        <v>47959.81</v>
      </c>
      <c r="F126" s="1663">
        <f>F56+F63+F120+F122</f>
        <v>2836.29</v>
      </c>
      <c r="G126" s="1663">
        <f>G56+G63+G120+G122</f>
        <v>74116.95</v>
      </c>
      <c r="I126" s="7">
        <f>G66+G120+G122</f>
        <v>74116.95</v>
      </c>
    </row>
    <row r="127" spans="1:9" ht="18.75" customHeight="1">
      <c r="A127" s="1612"/>
      <c r="B127" s="1664"/>
      <c r="C127" s="1665"/>
      <c r="D127" s="1630"/>
      <c r="E127" s="1630"/>
      <c r="F127" s="1630"/>
      <c r="G127" s="1630"/>
      <c r="I127" s="7">
        <f>D126+E126+F126</f>
        <v>74116.95</v>
      </c>
    </row>
    <row r="128" spans="1:7" ht="18.75" customHeight="1">
      <c r="A128" s="1666"/>
      <c r="B128" s="321"/>
      <c r="C128" s="167"/>
      <c r="D128" s="1667"/>
      <c r="E128" s="1667"/>
      <c r="F128" s="1667"/>
      <c r="G128" s="1667"/>
    </row>
    <row r="129" spans="1:7" ht="18.75" customHeight="1">
      <c r="A129" s="2903" t="s">
        <v>432</v>
      </c>
      <c r="B129" s="2904"/>
      <c r="C129" s="2904"/>
      <c r="D129" s="1667"/>
      <c r="E129" s="1667"/>
      <c r="F129" s="1667"/>
      <c r="G129" s="1667"/>
    </row>
    <row r="130" spans="1:7" ht="18.75" customHeight="1">
      <c r="A130" s="2905" t="s">
        <v>440</v>
      </c>
      <c r="B130" s="2870"/>
      <c r="C130" s="2870"/>
      <c r="D130" s="1667"/>
      <c r="E130" s="1667"/>
      <c r="F130" s="1667"/>
      <c r="G130" s="1667"/>
    </row>
    <row r="131" spans="1:7" ht="15.75" customHeight="1">
      <c r="A131" s="1450"/>
      <c r="B131" s="778"/>
      <c r="C131" s="778"/>
      <c r="D131" s="1660"/>
      <c r="E131" s="1660"/>
      <c r="F131" s="1660"/>
      <c r="G131" s="1661"/>
    </row>
    <row r="132" spans="1:9" ht="15.75" customHeight="1">
      <c r="A132" s="1450"/>
      <c r="B132" s="778"/>
      <c r="C132" s="778"/>
      <c r="D132" s="1660"/>
      <c r="E132" s="1660"/>
      <c r="F132" s="1660"/>
      <c r="G132" s="1668" t="s">
        <v>433</v>
      </c>
      <c r="I132" s="30"/>
    </row>
    <row r="133" spans="1:9" ht="15.75" customHeight="1">
      <c r="A133" s="1450"/>
      <c r="B133" s="778"/>
      <c r="C133" s="778"/>
      <c r="D133" s="1660"/>
      <c r="E133" s="1660"/>
      <c r="F133" s="1660"/>
      <c r="G133" s="1661"/>
      <c r="I133" s="30"/>
    </row>
    <row r="134" spans="1:9" ht="15.75" customHeight="1">
      <c r="A134" s="1450"/>
      <c r="B134" s="778"/>
      <c r="C134" s="778"/>
      <c r="D134" s="1660"/>
      <c r="E134" s="1660"/>
      <c r="F134" s="1660"/>
      <c r="G134" s="1661"/>
      <c r="I134" s="30"/>
    </row>
    <row r="135" spans="1:9" ht="15.75" customHeight="1">
      <c r="A135" s="1450"/>
      <c r="B135" s="778"/>
      <c r="C135" s="778"/>
      <c r="D135" s="1660"/>
      <c r="E135" s="1660"/>
      <c r="F135" s="1660"/>
      <c r="G135" s="1661"/>
      <c r="I135" s="30"/>
    </row>
    <row r="136" spans="1:7" ht="15.75" customHeight="1">
      <c r="A136" s="2528" t="s">
        <v>405</v>
      </c>
      <c r="B136" s="2528"/>
      <c r="C136" s="2528"/>
      <c r="D136" s="2535"/>
      <c r="E136" s="2535"/>
      <c r="F136" s="2535"/>
      <c r="G136" s="2535"/>
    </row>
    <row r="137" spans="1:7" ht="15.75" customHeight="1">
      <c r="A137" s="1452"/>
      <c r="B137" s="1452"/>
      <c r="C137" s="1452"/>
      <c r="D137" s="1584"/>
      <c r="E137" s="1584"/>
      <c r="F137" s="1584"/>
      <c r="G137" s="1584"/>
    </row>
    <row r="138" spans="1:7" ht="15.75" customHeight="1">
      <c r="A138" s="2888" t="s">
        <v>406</v>
      </c>
      <c r="B138" s="2889"/>
      <c r="C138" s="2889"/>
      <c r="D138" s="2889"/>
      <c r="E138" s="2889"/>
      <c r="F138" s="2889"/>
      <c r="G138" s="2889"/>
    </row>
    <row r="139" spans="1:7" ht="15.75" customHeight="1">
      <c r="A139" s="1450"/>
      <c r="B139" s="778"/>
      <c r="C139" s="778"/>
      <c r="D139" s="1660"/>
      <c r="E139" s="1660"/>
      <c r="F139" s="1660"/>
      <c r="G139" s="1661"/>
    </row>
    <row r="140" spans="1:9" ht="15.75" customHeight="1">
      <c r="A140" s="2528" t="s">
        <v>516</v>
      </c>
      <c r="B140" s="2547"/>
      <c r="C140" s="2547"/>
      <c r="D140" s="2547"/>
      <c r="E140" s="2547"/>
      <c r="F140" s="2547"/>
      <c r="G140" s="2547"/>
      <c r="H140" s="1444"/>
      <c r="I140" s="1444"/>
    </row>
    <row r="141" spans="1:7" ht="15.75" customHeight="1">
      <c r="A141" s="1450"/>
      <c r="B141" s="778"/>
      <c r="C141" s="778"/>
      <c r="D141" s="1660"/>
      <c r="E141" s="1660"/>
      <c r="F141" s="1660"/>
      <c r="G141" s="1661"/>
    </row>
    <row r="142" spans="1:7" ht="15.75" customHeight="1">
      <c r="A142" s="1450"/>
      <c r="B142" s="778"/>
      <c r="C142" s="778"/>
      <c r="D142" s="1660"/>
      <c r="E142" s="1660"/>
      <c r="F142" s="1660"/>
      <c r="G142" s="1661"/>
    </row>
    <row r="143" spans="1:7" ht="15.75" customHeight="1">
      <c r="A143" s="2860" t="s">
        <v>163</v>
      </c>
      <c r="B143" s="2861"/>
      <c r="C143" s="2860" t="s">
        <v>818</v>
      </c>
      <c r="D143" s="2892">
        <v>852011</v>
      </c>
      <c r="E143" s="2892">
        <v>852021</v>
      </c>
      <c r="F143" s="2890">
        <v>855911</v>
      </c>
      <c r="G143" s="2890" t="s">
        <v>1433</v>
      </c>
    </row>
    <row r="144" spans="1:7" ht="15.75" customHeight="1">
      <c r="A144" s="2862"/>
      <c r="B144" s="2863"/>
      <c r="C144" s="2871"/>
      <c r="D144" s="2893"/>
      <c r="E144" s="2893"/>
      <c r="F144" s="2894"/>
      <c r="G144" s="2891"/>
    </row>
    <row r="145" spans="1:7" ht="15.75" customHeight="1">
      <c r="A145" s="2864"/>
      <c r="B145" s="2865"/>
      <c r="C145" s="1587" t="s">
        <v>929</v>
      </c>
      <c r="D145" s="1588" t="s">
        <v>915</v>
      </c>
      <c r="E145" s="1588" t="s">
        <v>915</v>
      </c>
      <c r="F145" s="1589" t="s">
        <v>407</v>
      </c>
      <c r="G145" s="1588" t="s">
        <v>408</v>
      </c>
    </row>
    <row r="146" spans="1:7" ht="15.75" customHeight="1">
      <c r="A146" s="4" t="s">
        <v>821</v>
      </c>
      <c r="B146" s="4" t="s">
        <v>822</v>
      </c>
      <c r="C146" s="1669"/>
      <c r="D146" s="1590"/>
      <c r="E146" s="1590"/>
      <c r="F146" s="1590"/>
      <c r="G146" s="1592"/>
    </row>
    <row r="147" spans="1:7" ht="15.75" customHeight="1">
      <c r="A147" s="1670"/>
      <c r="B147" s="1671"/>
      <c r="C147" s="1671"/>
      <c r="D147" s="1672"/>
      <c r="E147" s="1672"/>
      <c r="F147" s="1672"/>
      <c r="G147" s="1672"/>
    </row>
    <row r="148" spans="1:7" ht="15.75" customHeight="1">
      <c r="A148" s="38">
        <v>91311</v>
      </c>
      <c r="B148" s="550">
        <v>91321</v>
      </c>
      <c r="C148" s="37" t="s">
        <v>1101</v>
      </c>
      <c r="D148" s="1609">
        <v>0</v>
      </c>
      <c r="E148" s="1609">
        <v>40</v>
      </c>
      <c r="F148" s="1609"/>
      <c r="G148" s="1605">
        <f>SUM(D148:F148)</f>
        <v>40</v>
      </c>
    </row>
    <row r="149" spans="1:7" ht="15.75" customHeight="1">
      <c r="A149" s="38"/>
      <c r="B149" s="550"/>
      <c r="C149" s="37"/>
      <c r="D149" s="1609"/>
      <c r="E149" s="1609"/>
      <c r="F149" s="1609"/>
      <c r="G149" s="1605"/>
    </row>
    <row r="150" spans="1:7" ht="15.75" customHeight="1">
      <c r="A150" s="38">
        <v>91913</v>
      </c>
      <c r="B150" s="550">
        <v>91923</v>
      </c>
      <c r="C150" s="37" t="s">
        <v>434</v>
      </c>
      <c r="D150" s="1609">
        <v>0</v>
      </c>
      <c r="E150" s="1609">
        <v>10</v>
      </c>
      <c r="F150" s="1609"/>
      <c r="G150" s="1605">
        <f>SUM(D150:F150)</f>
        <v>10</v>
      </c>
    </row>
    <row r="151" spans="1:7" ht="15.75" customHeight="1">
      <c r="A151" s="38"/>
      <c r="B151" s="38"/>
      <c r="C151" s="37"/>
      <c r="D151" s="1609"/>
      <c r="E151" s="1609"/>
      <c r="F151" s="1609"/>
      <c r="G151" s="1605"/>
    </row>
    <row r="152" spans="1:7" ht="18.75" customHeight="1">
      <c r="A152" s="1522"/>
      <c r="B152" s="2908" t="s">
        <v>435</v>
      </c>
      <c r="C152" s="2909"/>
      <c r="D152" s="1611">
        <f>D148+D150</f>
        <v>0</v>
      </c>
      <c r="E152" s="1611">
        <f>E148+E150</f>
        <v>50</v>
      </c>
      <c r="F152" s="1611">
        <f>F148+F150</f>
        <v>0</v>
      </c>
      <c r="G152" s="1673">
        <f>SUM(D152:F152)</f>
        <v>50</v>
      </c>
    </row>
    <row r="153" spans="1:7" ht="15.75" customHeight="1">
      <c r="A153" s="38"/>
      <c r="B153" s="38"/>
      <c r="C153" s="1500"/>
      <c r="D153" s="1609"/>
      <c r="E153" s="1609"/>
      <c r="F153" s="1609"/>
      <c r="G153" s="1605"/>
    </row>
    <row r="154" spans="1:7" ht="15.75" customHeight="1">
      <c r="A154" s="38"/>
      <c r="B154" s="2906" t="s">
        <v>436</v>
      </c>
      <c r="C154" s="2907"/>
      <c r="D154" s="1609"/>
      <c r="E154" s="1609"/>
      <c r="F154" s="1609"/>
      <c r="G154" s="1654"/>
    </row>
    <row r="155" spans="1:7" ht="15.75" customHeight="1">
      <c r="A155" s="38"/>
      <c r="B155" s="510"/>
      <c r="C155" s="1500"/>
      <c r="D155" s="1609"/>
      <c r="E155" s="1609"/>
      <c r="F155" s="1609"/>
      <c r="G155" s="1654"/>
    </row>
    <row r="156" spans="1:7" ht="15.75" customHeight="1">
      <c r="A156" s="38">
        <v>464112</v>
      </c>
      <c r="B156" s="510"/>
      <c r="C156" s="510"/>
      <c r="D156" s="1609"/>
      <c r="E156" s="1609"/>
      <c r="F156" s="1609"/>
      <c r="G156" s="1654">
        <f>SUM(D156:F156)</f>
        <v>0</v>
      </c>
    </row>
    <row r="157" spans="1:7" ht="15.75" customHeight="1">
      <c r="A157" s="38"/>
      <c r="B157" s="510"/>
      <c r="C157" s="510"/>
      <c r="D157" s="1609"/>
      <c r="E157" s="1609"/>
      <c r="F157" s="1609"/>
      <c r="G157" s="1654"/>
    </row>
    <row r="158" spans="1:7" ht="15.75" customHeight="1">
      <c r="A158" s="38">
        <v>464142</v>
      </c>
      <c r="B158" s="38"/>
      <c r="C158" s="37" t="s">
        <v>437</v>
      </c>
      <c r="D158" s="1609">
        <v>0</v>
      </c>
      <c r="E158" s="1609">
        <v>1776</v>
      </c>
      <c r="F158" s="1609"/>
      <c r="G158" s="1605">
        <f>SUM(D158:F158)</f>
        <v>1776</v>
      </c>
    </row>
    <row r="159" spans="1:7" ht="15.75" customHeight="1">
      <c r="A159" s="38"/>
      <c r="B159" s="38"/>
      <c r="C159" s="37"/>
      <c r="D159" s="1609"/>
      <c r="E159" s="1609"/>
      <c r="F159" s="1609"/>
      <c r="G159" s="1605"/>
    </row>
    <row r="160" spans="1:7" ht="18.75" customHeight="1">
      <c r="A160" s="1522"/>
      <c r="B160" s="2910" t="s">
        <v>438</v>
      </c>
      <c r="C160" s="2911"/>
      <c r="D160" s="1611">
        <f>D156+D158</f>
        <v>0</v>
      </c>
      <c r="E160" s="1611">
        <f>E156+E158</f>
        <v>1776</v>
      </c>
      <c r="F160" s="1611">
        <f>F156+F158</f>
        <v>0</v>
      </c>
      <c r="G160" s="1673">
        <f>SUM(D160:F160)</f>
        <v>1776</v>
      </c>
    </row>
    <row r="161" spans="1:7" ht="15.75" customHeight="1">
      <c r="A161" s="38"/>
      <c r="B161" s="38"/>
      <c r="C161" s="1500"/>
      <c r="D161" s="1609"/>
      <c r="E161" s="1609"/>
      <c r="F161" s="1609"/>
      <c r="G161" s="1605"/>
    </row>
    <row r="162" spans="1:7" ht="15.75" customHeight="1">
      <c r="A162" s="38"/>
      <c r="B162" s="38"/>
      <c r="C162" s="37"/>
      <c r="D162" s="1609"/>
      <c r="E162" s="1609"/>
      <c r="F162" s="1609"/>
      <c r="G162" s="1605"/>
    </row>
    <row r="163" spans="1:7" ht="18.75" customHeight="1">
      <c r="A163" s="1522"/>
      <c r="B163" s="1522"/>
      <c r="C163" s="1657" t="s">
        <v>439</v>
      </c>
      <c r="D163" s="1611">
        <f>D152+D160</f>
        <v>0</v>
      </c>
      <c r="E163" s="1611">
        <f>E152+E160</f>
        <v>1826</v>
      </c>
      <c r="F163" s="1611">
        <f>F152+F160</f>
        <v>0</v>
      </c>
      <c r="G163" s="1673">
        <f>SUM(D163:F163)</f>
        <v>1826</v>
      </c>
    </row>
    <row r="164" spans="1:7" ht="15.75" customHeight="1">
      <c r="A164" s="1674"/>
      <c r="B164" s="1674"/>
      <c r="C164" s="1675"/>
      <c r="D164" s="1676"/>
      <c r="E164" s="1676"/>
      <c r="F164" s="1676"/>
      <c r="G164" s="1676"/>
    </row>
    <row r="165" spans="1:7" ht="15.75" customHeight="1">
      <c r="A165" s="333"/>
      <c r="B165" s="333"/>
      <c r="C165" s="108"/>
      <c r="D165" s="1677"/>
      <c r="E165" s="1677"/>
      <c r="F165" s="1677"/>
      <c r="G165" s="1677"/>
    </row>
    <row r="166" spans="1:7" ht="15.75" customHeight="1">
      <c r="A166" s="333"/>
      <c r="B166" s="333"/>
      <c r="C166" s="108"/>
      <c r="D166" s="1677"/>
      <c r="E166" s="1677"/>
      <c r="F166" s="1677"/>
      <c r="G166" s="1677"/>
    </row>
    <row r="167" spans="1:7" ht="15.75" customHeight="1">
      <c r="A167" s="108"/>
      <c r="B167" s="108"/>
      <c r="C167" s="108"/>
      <c r="D167" s="1677"/>
      <c r="E167" s="1677"/>
      <c r="F167" s="1677"/>
      <c r="G167" s="1677"/>
    </row>
    <row r="168" spans="1:3" ht="18">
      <c r="A168" s="2903" t="s">
        <v>432</v>
      </c>
      <c r="B168" s="2904"/>
      <c r="C168" s="2904"/>
    </row>
    <row r="169" spans="1:3" ht="18">
      <c r="A169" s="2905" t="s">
        <v>440</v>
      </c>
      <c r="B169" s="2870"/>
      <c r="C169" s="2870"/>
    </row>
  </sheetData>
  <sheetProtection/>
  <mergeCells count="41">
    <mergeCell ref="A77:B77"/>
    <mergeCell ref="A75:B76"/>
    <mergeCell ref="C75:C76"/>
    <mergeCell ref="A73:G73"/>
    <mergeCell ref="G75:G76"/>
    <mergeCell ref="F75:F76"/>
    <mergeCell ref="D75:D76"/>
    <mergeCell ref="E75:E76"/>
    <mergeCell ref="A129:C129"/>
    <mergeCell ref="A168:C168"/>
    <mergeCell ref="A169:C169"/>
    <mergeCell ref="B154:C154"/>
    <mergeCell ref="A143:B144"/>
    <mergeCell ref="C143:C144"/>
    <mergeCell ref="B152:C152"/>
    <mergeCell ref="B160:C160"/>
    <mergeCell ref="A145:B145"/>
    <mergeCell ref="A130:C130"/>
    <mergeCell ref="F143:F144"/>
    <mergeCell ref="A140:G140"/>
    <mergeCell ref="G143:G144"/>
    <mergeCell ref="A136:G136"/>
    <mergeCell ref="A138:G138"/>
    <mergeCell ref="E143:E144"/>
    <mergeCell ref="D143:D144"/>
    <mergeCell ref="A8:B8"/>
    <mergeCell ref="A56:C56"/>
    <mergeCell ref="A71:G71"/>
    <mergeCell ref="B63:C63"/>
    <mergeCell ref="A57:B57"/>
    <mergeCell ref="A66:C66"/>
    <mergeCell ref="A69:G69"/>
    <mergeCell ref="A1:C1"/>
    <mergeCell ref="A6:B7"/>
    <mergeCell ref="C6:C7"/>
    <mergeCell ref="A2:G2"/>
    <mergeCell ref="A4:G4"/>
    <mergeCell ref="G6:G7"/>
    <mergeCell ref="D6:D7"/>
    <mergeCell ref="E6:E7"/>
    <mergeCell ref="F6:F7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72" r:id="rId1"/>
  <headerFooter alignWithMargins="0">
    <oddHeader>&amp;LCsurgói Városi Iskolák és Óvodák
II. Rákóczi Ferenc Általános Iskola
8840 Csurgó, Rákóczi utca 61.</oddHeader>
  </headerFooter>
  <rowBreaks count="2" manualBreakCount="2">
    <brk id="66" max="255" man="1"/>
    <brk id="131" max="255" man="1"/>
  </rowBreaks>
  <colBreaks count="1" manualBreakCount="1">
    <brk id="7" max="65535" man="1"/>
  </colBreaks>
</worksheet>
</file>

<file path=xl/worksheets/sheet78.xml><?xml version="1.0" encoding="utf-8"?>
<worksheet xmlns="http://schemas.openxmlformats.org/spreadsheetml/2006/main" xmlns:r="http://schemas.openxmlformats.org/officeDocument/2006/relationships">
  <dimension ref="A1:V783"/>
  <sheetViews>
    <sheetView zoomScale="75" zoomScaleNormal="75" zoomScaleSheetLayoutView="75" zoomScalePageLayoutView="0" workbookViewId="0" topLeftCell="C1">
      <pane ySplit="9" topLeftCell="BM10" activePane="bottomLeft" state="frozen"/>
      <selection pane="topLeft" activeCell="A1" sqref="A1"/>
      <selection pane="bottomLeft" activeCell="M112" sqref="M112"/>
    </sheetView>
  </sheetViews>
  <sheetFormatPr defaultColWidth="9.140625" defaultRowHeight="12.75"/>
  <cols>
    <col min="1" max="2" width="9.7109375" style="1786" customWidth="1"/>
    <col min="3" max="3" width="46.57421875" style="1786" customWidth="1"/>
    <col min="4" max="10" width="12.7109375" style="1787" customWidth="1"/>
    <col min="11" max="11" width="12.7109375" style="1978" customWidth="1"/>
    <col min="12" max="12" width="12.00390625" style="1787" customWidth="1"/>
    <col min="13" max="13" width="13.00390625" style="1786" customWidth="1"/>
    <col min="14" max="14" width="11.57421875" style="1786" customWidth="1"/>
    <col min="15" max="15" width="14.28125" style="1977" customWidth="1"/>
    <col min="16" max="19" width="9.140625" style="1786" customWidth="1"/>
    <col min="20" max="20" width="10.421875" style="1786" customWidth="1"/>
    <col min="21" max="16384" width="9.140625" style="1786" customWidth="1"/>
  </cols>
  <sheetData>
    <row r="1" spans="11:15" ht="15">
      <c r="K1" s="1788"/>
      <c r="L1" s="1788"/>
      <c r="M1" s="1789"/>
      <c r="N1" s="1789"/>
      <c r="O1" s="1789"/>
    </row>
    <row r="2" spans="1:15" ht="15.75">
      <c r="A2" s="2941" t="s">
        <v>2044</v>
      </c>
      <c r="B2" s="2941"/>
      <c r="C2" s="2941"/>
      <c r="D2" s="2942"/>
      <c r="E2" s="2942"/>
      <c r="F2" s="2942"/>
      <c r="G2" s="2942"/>
      <c r="H2" s="2942"/>
      <c r="I2" s="2942"/>
      <c r="J2" s="2942"/>
      <c r="K2" s="2942"/>
      <c r="L2" s="2939"/>
      <c r="M2" s="2939"/>
      <c r="N2" s="2939"/>
      <c r="O2" s="2940"/>
    </row>
    <row r="3" spans="1:15" ht="15">
      <c r="A3" s="2933"/>
      <c r="B3" s="2933"/>
      <c r="C3" s="2933"/>
      <c r="D3" s="2934"/>
      <c r="E3" s="2934"/>
      <c r="F3" s="2934"/>
      <c r="G3" s="2934"/>
      <c r="H3" s="2934"/>
      <c r="I3" s="2934"/>
      <c r="J3" s="2934"/>
      <c r="K3" s="2934"/>
      <c r="L3" s="1790"/>
      <c r="M3" s="1791"/>
      <c r="N3" s="1791"/>
      <c r="O3" s="1792"/>
    </row>
    <row r="4" spans="1:15" ht="15.75">
      <c r="A4" s="2937" t="s">
        <v>2045</v>
      </c>
      <c r="B4" s="2938"/>
      <c r="C4" s="2938"/>
      <c r="D4" s="2938"/>
      <c r="E4" s="2938"/>
      <c r="F4" s="2938"/>
      <c r="G4" s="2938"/>
      <c r="H4" s="2938"/>
      <c r="I4" s="2938"/>
      <c r="J4" s="2938"/>
      <c r="K4" s="2938"/>
      <c r="L4" s="2939"/>
      <c r="M4" s="2939"/>
      <c r="N4" s="2939"/>
      <c r="O4" s="2940"/>
    </row>
    <row r="5" spans="1:21" ht="15">
      <c r="A5" s="2935"/>
      <c r="B5" s="2936"/>
      <c r="C5" s="2936"/>
      <c r="D5" s="2936"/>
      <c r="E5" s="2936"/>
      <c r="F5" s="2936"/>
      <c r="G5" s="2936"/>
      <c r="H5" s="2936"/>
      <c r="I5" s="2936"/>
      <c r="J5" s="2936"/>
      <c r="K5" s="2936"/>
      <c r="L5" s="1793"/>
      <c r="M5" s="1793"/>
      <c r="N5" s="1793"/>
      <c r="O5" s="1794"/>
      <c r="T5" s="1787"/>
      <c r="U5" s="1787"/>
    </row>
    <row r="6" spans="1:22" ht="15">
      <c r="A6" s="2915" t="s">
        <v>163</v>
      </c>
      <c r="B6" s="2916"/>
      <c r="C6" s="2915" t="s">
        <v>818</v>
      </c>
      <c r="D6" s="1795">
        <v>562912</v>
      </c>
      <c r="E6" s="1796">
        <v>562913</v>
      </c>
      <c r="F6" s="1797">
        <v>852011</v>
      </c>
      <c r="G6" s="1796">
        <v>852021</v>
      </c>
      <c r="H6" s="1795">
        <v>855911</v>
      </c>
      <c r="I6" s="1798">
        <v>855914</v>
      </c>
      <c r="J6" s="1795">
        <v>852021</v>
      </c>
      <c r="K6" s="2926" t="s">
        <v>1433</v>
      </c>
      <c r="L6" s="1799">
        <v>562917</v>
      </c>
      <c r="M6" s="1800">
        <v>562919</v>
      </c>
      <c r="N6" s="1799">
        <v>562920</v>
      </c>
      <c r="O6" s="2913" t="s">
        <v>2046</v>
      </c>
      <c r="P6" s="1801"/>
      <c r="Q6" s="1801"/>
      <c r="R6" s="1801"/>
      <c r="S6" s="1801"/>
      <c r="T6" s="1801"/>
      <c r="U6" s="1801"/>
      <c r="V6" s="1801"/>
    </row>
    <row r="7" spans="1:22" ht="15">
      <c r="A7" s="2917"/>
      <c r="B7" s="2918"/>
      <c r="C7" s="2919"/>
      <c r="D7" s="1802" t="s">
        <v>2047</v>
      </c>
      <c r="E7" s="1803" t="s">
        <v>2048</v>
      </c>
      <c r="F7" s="1804" t="s">
        <v>2049</v>
      </c>
      <c r="G7" s="1803" t="s">
        <v>2050</v>
      </c>
      <c r="H7" s="1804" t="s">
        <v>2051</v>
      </c>
      <c r="I7" s="1805" t="s">
        <v>2052</v>
      </c>
      <c r="J7" s="1806" t="s">
        <v>2053</v>
      </c>
      <c r="K7" s="2927"/>
      <c r="L7" s="1807" t="s">
        <v>2054</v>
      </c>
      <c r="M7" s="1808" t="s">
        <v>2055</v>
      </c>
      <c r="N7" s="1807" t="s">
        <v>2056</v>
      </c>
      <c r="O7" s="2913"/>
      <c r="P7" s="1809"/>
      <c r="Q7" s="1809"/>
      <c r="R7" s="1809"/>
      <c r="S7" s="1809"/>
      <c r="T7" s="1809"/>
      <c r="U7" s="1809"/>
      <c r="V7" s="1809"/>
    </row>
    <row r="8" spans="1:22" ht="15">
      <c r="A8" s="2928"/>
      <c r="B8" s="2929"/>
      <c r="C8" s="1810" t="s">
        <v>929</v>
      </c>
      <c r="D8" s="1811" t="s">
        <v>2057</v>
      </c>
      <c r="E8" s="1811" t="s">
        <v>2058</v>
      </c>
      <c r="F8" s="1811" t="s">
        <v>74</v>
      </c>
      <c r="G8" s="1811" t="s">
        <v>74</v>
      </c>
      <c r="H8" s="1812" t="s">
        <v>2059</v>
      </c>
      <c r="I8" s="1812" t="s">
        <v>2059</v>
      </c>
      <c r="J8" s="1811" t="s">
        <v>2060</v>
      </c>
      <c r="K8" s="1813"/>
      <c r="L8" s="1811" t="s">
        <v>2061</v>
      </c>
      <c r="M8" s="1811" t="s">
        <v>2061</v>
      </c>
      <c r="N8" s="1814" t="s">
        <v>2061</v>
      </c>
      <c r="O8" s="1815"/>
      <c r="P8" s="1816"/>
      <c r="Q8" s="1801"/>
      <c r="R8" s="1801"/>
      <c r="S8" s="1801"/>
      <c r="T8" s="1817"/>
      <c r="U8" s="1817"/>
      <c r="V8" s="1801"/>
    </row>
    <row r="9" spans="1:22" ht="15">
      <c r="A9" s="1818" t="s">
        <v>821</v>
      </c>
      <c r="B9" s="1818" t="s">
        <v>822</v>
      </c>
      <c r="C9" s="1819" t="s">
        <v>2062</v>
      </c>
      <c r="D9" s="1820">
        <v>2</v>
      </c>
      <c r="E9" s="1820">
        <v>13</v>
      </c>
      <c r="F9" s="1820">
        <v>6</v>
      </c>
      <c r="G9" s="1820">
        <v>17</v>
      </c>
      <c r="H9" s="1820">
        <v>5</v>
      </c>
      <c r="I9" s="1820">
        <v>0</v>
      </c>
      <c r="J9" s="1820">
        <v>6</v>
      </c>
      <c r="K9" s="1821">
        <f>SUM(D9:J9)</f>
        <v>49</v>
      </c>
      <c r="L9" s="1822"/>
      <c r="M9" s="1822"/>
      <c r="N9" s="1823"/>
      <c r="O9" s="1815"/>
      <c r="P9" s="1816"/>
      <c r="Q9" s="1824"/>
      <c r="R9" s="1824"/>
      <c r="S9" s="1824"/>
      <c r="T9" s="1825"/>
      <c r="U9" s="1825"/>
      <c r="V9" s="1824"/>
    </row>
    <row r="10" spans="1:22" ht="15">
      <c r="A10" s="1818"/>
      <c r="B10" s="1818"/>
      <c r="C10" s="1819"/>
      <c r="D10" s="1826"/>
      <c r="E10" s="1826"/>
      <c r="F10" s="1826"/>
      <c r="G10" s="1826"/>
      <c r="H10" s="1826"/>
      <c r="I10" s="1826"/>
      <c r="J10" s="1826"/>
      <c r="K10" s="1821" t="s">
        <v>2063</v>
      </c>
      <c r="L10" s="1827"/>
      <c r="M10" s="1827"/>
      <c r="N10" s="1823"/>
      <c r="O10" s="1815"/>
      <c r="P10" s="1816"/>
      <c r="Q10" s="1824"/>
      <c r="R10" s="1824"/>
      <c r="S10" s="1824"/>
      <c r="T10" s="1825"/>
      <c r="U10" s="1825"/>
      <c r="V10" s="1824"/>
    </row>
    <row r="11" spans="1:22" ht="29.25" customHeight="1">
      <c r="A11" s="1828"/>
      <c r="B11" s="1828"/>
      <c r="C11" s="1829" t="s">
        <v>931</v>
      </c>
      <c r="D11" s="1830"/>
      <c r="E11" s="1830"/>
      <c r="F11" s="1830"/>
      <c r="G11" s="1830"/>
      <c r="H11" s="1831"/>
      <c r="I11" s="1831"/>
      <c r="J11" s="1831"/>
      <c r="K11" s="1832"/>
      <c r="L11" s="1833"/>
      <c r="M11" s="1834"/>
      <c r="N11" s="1835"/>
      <c r="O11" s="1836"/>
      <c r="P11" s="1824"/>
      <c r="Q11" s="1824"/>
      <c r="R11" s="1824"/>
      <c r="S11" s="1824"/>
      <c r="T11" s="1824"/>
      <c r="U11" s="1824"/>
      <c r="V11" s="1824"/>
    </row>
    <row r="12" spans="1:22" s="1847" customFormat="1" ht="15">
      <c r="A12" s="1837">
        <v>511112</v>
      </c>
      <c r="B12" s="1837">
        <v>511212</v>
      </c>
      <c r="C12" s="1838" t="s">
        <v>932</v>
      </c>
      <c r="D12" s="1839">
        <v>3134</v>
      </c>
      <c r="E12" s="1839">
        <v>7558</v>
      </c>
      <c r="F12" s="1839">
        <v>13190</v>
      </c>
      <c r="G12" s="1839">
        <v>38840</v>
      </c>
      <c r="H12" s="1840">
        <v>9649</v>
      </c>
      <c r="I12" s="1840">
        <v>0</v>
      </c>
      <c r="J12" s="1840">
        <v>4518</v>
      </c>
      <c r="K12" s="1841">
        <f aca="true" t="shared" si="0" ref="K12:K35">SUM(D12:J12)</f>
        <v>76889</v>
      </c>
      <c r="L12" s="1842">
        <v>1290</v>
      </c>
      <c r="M12" s="1842">
        <v>922</v>
      </c>
      <c r="N12" s="1843">
        <v>553</v>
      </c>
      <c r="O12" s="1844">
        <f>SUM(K12:N12)</f>
        <v>79654</v>
      </c>
      <c r="P12" s="1845"/>
      <c r="Q12" s="1846"/>
      <c r="R12" s="1846"/>
      <c r="S12" s="1846"/>
      <c r="T12" s="1846"/>
      <c r="U12" s="1846"/>
      <c r="V12" s="1846"/>
    </row>
    <row r="13" spans="1:22" ht="15">
      <c r="A13" s="1848">
        <v>511142</v>
      </c>
      <c r="B13" s="1848">
        <v>511212</v>
      </c>
      <c r="C13" s="1848" t="s">
        <v>935</v>
      </c>
      <c r="D13" s="1849"/>
      <c r="E13" s="1849"/>
      <c r="F13" s="1849"/>
      <c r="G13" s="1849"/>
      <c r="H13" s="1850"/>
      <c r="I13" s="1850"/>
      <c r="J13" s="1850">
        <v>486</v>
      </c>
      <c r="K13" s="1851">
        <f t="shared" si="0"/>
        <v>486</v>
      </c>
      <c r="L13" s="1852">
        <f aca="true" t="shared" si="1" ref="L13:L24">ROUND(I13*8/100,)</f>
        <v>0</v>
      </c>
      <c r="M13" s="1852">
        <f aca="true" t="shared" si="2" ref="M13:M24">ROUND(I13*7/100,)</f>
        <v>0</v>
      </c>
      <c r="N13" s="1853">
        <f aca="true" t="shared" si="3" ref="N13:N24">ROUND(I13*3/100,)</f>
        <v>0</v>
      </c>
      <c r="O13" s="1854">
        <f aca="true" t="shared" si="4" ref="O13:O49">SUM(K13:N13)</f>
        <v>486</v>
      </c>
      <c r="P13" s="1824"/>
      <c r="Q13" s="1824"/>
      <c r="R13" s="1824"/>
      <c r="S13" s="1824"/>
      <c r="T13" s="1824"/>
      <c r="U13" s="1824"/>
      <c r="V13" s="1824"/>
    </row>
    <row r="14" spans="1:22" ht="15">
      <c r="A14" s="1848">
        <v>511142</v>
      </c>
      <c r="B14" s="1848">
        <v>511242</v>
      </c>
      <c r="C14" s="1848" t="s">
        <v>936</v>
      </c>
      <c r="D14" s="1849"/>
      <c r="E14" s="1849"/>
      <c r="F14" s="1849"/>
      <c r="G14" s="1849">
        <v>480</v>
      </c>
      <c r="H14" s="1850"/>
      <c r="I14" s="1850"/>
      <c r="J14" s="1850">
        <v>0</v>
      </c>
      <c r="K14" s="1851">
        <f t="shared" si="0"/>
        <v>480</v>
      </c>
      <c r="L14" s="1852">
        <f t="shared" si="1"/>
        <v>0</v>
      </c>
      <c r="M14" s="1852">
        <f t="shared" si="2"/>
        <v>0</v>
      </c>
      <c r="N14" s="1853">
        <f t="shared" si="3"/>
        <v>0</v>
      </c>
      <c r="O14" s="1854">
        <f t="shared" si="4"/>
        <v>480</v>
      </c>
      <c r="P14" s="1824"/>
      <c r="Q14" s="1824"/>
      <c r="R14" s="1824"/>
      <c r="S14" s="1824"/>
      <c r="T14" s="1824"/>
      <c r="U14" s="1824"/>
      <c r="V14" s="1824"/>
    </row>
    <row r="15" spans="1:22" ht="15">
      <c r="A15" s="1848">
        <v>511142</v>
      </c>
      <c r="B15" s="1848">
        <v>511242</v>
      </c>
      <c r="C15" s="1848" t="s">
        <v>937</v>
      </c>
      <c r="D15" s="1849"/>
      <c r="E15" s="1849"/>
      <c r="F15" s="1849">
        <v>576</v>
      </c>
      <c r="G15" s="1849">
        <v>768</v>
      </c>
      <c r="H15" s="1850"/>
      <c r="I15" s="1850"/>
      <c r="J15" s="1850">
        <v>0</v>
      </c>
      <c r="K15" s="1851">
        <f t="shared" si="0"/>
        <v>1344</v>
      </c>
      <c r="L15" s="1852">
        <f t="shared" si="1"/>
        <v>0</v>
      </c>
      <c r="M15" s="1852">
        <f t="shared" si="2"/>
        <v>0</v>
      </c>
      <c r="N15" s="1853">
        <f t="shared" si="3"/>
        <v>0</v>
      </c>
      <c r="O15" s="1854">
        <f t="shared" si="4"/>
        <v>1344</v>
      </c>
      <c r="P15" s="1824"/>
      <c r="Q15" s="1824"/>
      <c r="R15" s="1824"/>
      <c r="S15" s="1824"/>
      <c r="T15" s="1824"/>
      <c r="U15" s="1824"/>
      <c r="V15" s="1824"/>
    </row>
    <row r="16" spans="1:22" ht="15">
      <c r="A16" s="1848">
        <v>511142</v>
      </c>
      <c r="B16" s="1848">
        <v>511242</v>
      </c>
      <c r="C16" s="1848" t="s">
        <v>938</v>
      </c>
      <c r="D16" s="1849"/>
      <c r="E16" s="1849"/>
      <c r="F16" s="1849"/>
      <c r="G16" s="1849">
        <v>72</v>
      </c>
      <c r="H16" s="1850"/>
      <c r="I16" s="1850"/>
      <c r="J16" s="1850">
        <v>0</v>
      </c>
      <c r="K16" s="1851">
        <f t="shared" si="0"/>
        <v>72</v>
      </c>
      <c r="L16" s="1852">
        <f t="shared" si="1"/>
        <v>0</v>
      </c>
      <c r="M16" s="1852">
        <f t="shared" si="2"/>
        <v>0</v>
      </c>
      <c r="N16" s="1853">
        <f t="shared" si="3"/>
        <v>0</v>
      </c>
      <c r="O16" s="1854">
        <f t="shared" si="4"/>
        <v>72</v>
      </c>
      <c r="P16" s="1824"/>
      <c r="Q16" s="1824"/>
      <c r="R16" s="1824"/>
      <c r="S16" s="1824"/>
      <c r="T16" s="1824"/>
      <c r="U16" s="1824"/>
      <c r="V16" s="1824"/>
    </row>
    <row r="17" spans="1:22" ht="15">
      <c r="A17" s="1848">
        <v>511142</v>
      </c>
      <c r="B17" s="1848">
        <v>511242</v>
      </c>
      <c r="C17" s="1848" t="s">
        <v>939</v>
      </c>
      <c r="D17" s="1849"/>
      <c r="E17" s="1849"/>
      <c r="F17" s="1849"/>
      <c r="G17" s="1849">
        <v>192</v>
      </c>
      <c r="H17" s="1850"/>
      <c r="I17" s="1850"/>
      <c r="J17" s="1850">
        <v>0</v>
      </c>
      <c r="K17" s="1851">
        <f t="shared" si="0"/>
        <v>192</v>
      </c>
      <c r="L17" s="1852">
        <f t="shared" si="1"/>
        <v>0</v>
      </c>
      <c r="M17" s="1852">
        <f t="shared" si="2"/>
        <v>0</v>
      </c>
      <c r="N17" s="1853">
        <f t="shared" si="3"/>
        <v>0</v>
      </c>
      <c r="O17" s="1854">
        <f t="shared" si="4"/>
        <v>192</v>
      </c>
      <c r="P17" s="1824"/>
      <c r="Q17" s="1824"/>
      <c r="R17" s="1824"/>
      <c r="S17" s="1824"/>
      <c r="T17" s="1824"/>
      <c r="U17" s="1824"/>
      <c r="V17" s="1824"/>
    </row>
    <row r="18" spans="1:22" ht="15">
      <c r="A18" s="1848">
        <v>511142</v>
      </c>
      <c r="B18" s="1848">
        <v>511242</v>
      </c>
      <c r="C18" s="1848" t="s">
        <v>940</v>
      </c>
      <c r="D18" s="1849"/>
      <c r="E18" s="1849"/>
      <c r="F18" s="1849">
        <v>72</v>
      </c>
      <c r="G18" s="1849">
        <v>144</v>
      </c>
      <c r="H18" s="1850"/>
      <c r="I18" s="1850"/>
      <c r="J18" s="1850">
        <v>0</v>
      </c>
      <c r="K18" s="1851">
        <f t="shared" si="0"/>
        <v>216</v>
      </c>
      <c r="L18" s="1852">
        <f t="shared" si="1"/>
        <v>0</v>
      </c>
      <c r="M18" s="1852">
        <f t="shared" si="2"/>
        <v>0</v>
      </c>
      <c r="N18" s="1853">
        <f t="shared" si="3"/>
        <v>0</v>
      </c>
      <c r="O18" s="1854">
        <f t="shared" si="4"/>
        <v>216</v>
      </c>
      <c r="P18" s="1824"/>
      <c r="Q18" s="1824"/>
      <c r="R18" s="1824"/>
      <c r="S18" s="1824"/>
      <c r="T18" s="1824"/>
      <c r="U18" s="1824"/>
      <c r="V18" s="1824"/>
    </row>
    <row r="19" spans="1:22" s="1847" customFormat="1" ht="15">
      <c r="A19" s="1837">
        <v>511152</v>
      </c>
      <c r="B19" s="1837">
        <v>511252</v>
      </c>
      <c r="C19" s="1837" t="s">
        <v>943</v>
      </c>
      <c r="D19" s="1839">
        <f aca="true" t="shared" si="5" ref="D19:J19">SUM(D13:D18)</f>
        <v>0</v>
      </c>
      <c r="E19" s="1839">
        <f t="shared" si="5"/>
        <v>0</v>
      </c>
      <c r="F19" s="1839">
        <f t="shared" si="5"/>
        <v>648</v>
      </c>
      <c r="G19" s="1839">
        <f t="shared" si="5"/>
        <v>1656</v>
      </c>
      <c r="H19" s="1839">
        <f t="shared" si="5"/>
        <v>0</v>
      </c>
      <c r="I19" s="1839">
        <f t="shared" si="5"/>
        <v>0</v>
      </c>
      <c r="J19" s="1839">
        <f t="shared" si="5"/>
        <v>486</v>
      </c>
      <c r="K19" s="1841">
        <f t="shared" si="0"/>
        <v>2790</v>
      </c>
      <c r="L19" s="1842">
        <f t="shared" si="1"/>
        <v>0</v>
      </c>
      <c r="M19" s="1842">
        <f t="shared" si="2"/>
        <v>0</v>
      </c>
      <c r="N19" s="1843">
        <f t="shared" si="3"/>
        <v>0</v>
      </c>
      <c r="O19" s="1844">
        <f t="shared" si="4"/>
        <v>2790</v>
      </c>
      <c r="P19" s="1845">
        <f>SUM(N19+N22)</f>
        <v>0</v>
      </c>
      <c r="Q19" s="1846"/>
      <c r="R19" s="1846"/>
      <c r="S19" s="1846"/>
      <c r="T19" s="1846"/>
      <c r="U19" s="1846"/>
      <c r="V19" s="1846"/>
    </row>
    <row r="20" spans="1:22" ht="15">
      <c r="A20" s="1855"/>
      <c r="B20" s="1855"/>
      <c r="C20" s="1848" t="s">
        <v>941</v>
      </c>
      <c r="D20" s="1849"/>
      <c r="E20" s="1849"/>
      <c r="F20" s="1849"/>
      <c r="G20" s="1849"/>
      <c r="H20" s="1850"/>
      <c r="I20" s="1850"/>
      <c r="J20" s="1850"/>
      <c r="K20" s="1851">
        <f t="shared" si="0"/>
        <v>0</v>
      </c>
      <c r="L20" s="1852">
        <f t="shared" si="1"/>
        <v>0</v>
      </c>
      <c r="M20" s="1852">
        <f t="shared" si="2"/>
        <v>0</v>
      </c>
      <c r="N20" s="1853">
        <f t="shared" si="3"/>
        <v>0</v>
      </c>
      <c r="O20" s="1854">
        <f t="shared" si="4"/>
        <v>0</v>
      </c>
      <c r="P20" s="1824"/>
      <c r="Q20" s="1824"/>
      <c r="R20" s="1824"/>
      <c r="S20" s="1824"/>
      <c r="T20" s="1824"/>
      <c r="U20" s="1824"/>
      <c r="V20" s="1824"/>
    </row>
    <row r="21" spans="1:22" ht="15">
      <c r="A21" s="1855"/>
      <c r="B21" s="1855"/>
      <c r="C21" s="1848" t="s">
        <v>412</v>
      </c>
      <c r="D21" s="1849"/>
      <c r="E21" s="1849"/>
      <c r="F21" s="1849"/>
      <c r="G21" s="1849"/>
      <c r="H21" s="1850"/>
      <c r="I21" s="1850"/>
      <c r="J21" s="1850">
        <v>0</v>
      </c>
      <c r="K21" s="1851">
        <f t="shared" si="0"/>
        <v>0</v>
      </c>
      <c r="L21" s="1852">
        <f t="shared" si="1"/>
        <v>0</v>
      </c>
      <c r="M21" s="1852">
        <f t="shared" si="2"/>
        <v>0</v>
      </c>
      <c r="N21" s="1853">
        <f t="shared" si="3"/>
        <v>0</v>
      </c>
      <c r="O21" s="1854">
        <f t="shared" si="4"/>
        <v>0</v>
      </c>
      <c r="P21" s="1824"/>
      <c r="Q21" s="1824"/>
      <c r="R21" s="1824"/>
      <c r="S21" s="1824"/>
      <c r="T21" s="1824"/>
      <c r="U21" s="1824"/>
      <c r="V21" s="1824"/>
    </row>
    <row r="22" spans="1:22" s="1847" customFormat="1" ht="15">
      <c r="A22" s="1856"/>
      <c r="B22" s="1856"/>
      <c r="C22" s="1837" t="s">
        <v>2064</v>
      </c>
      <c r="D22" s="1839">
        <f aca="true" t="shared" si="6" ref="D22:J22">SUM(D20:D21)</f>
        <v>0</v>
      </c>
      <c r="E22" s="1839">
        <f t="shared" si="6"/>
        <v>0</v>
      </c>
      <c r="F22" s="1839">
        <f t="shared" si="6"/>
        <v>0</v>
      </c>
      <c r="G22" s="1839">
        <f t="shared" si="6"/>
        <v>0</v>
      </c>
      <c r="H22" s="1839">
        <f t="shared" si="6"/>
        <v>0</v>
      </c>
      <c r="I22" s="1839">
        <f t="shared" si="6"/>
        <v>0</v>
      </c>
      <c r="J22" s="1839">
        <f t="shared" si="6"/>
        <v>0</v>
      </c>
      <c r="K22" s="1841">
        <f t="shared" si="0"/>
        <v>0</v>
      </c>
      <c r="L22" s="1842">
        <f t="shared" si="1"/>
        <v>0</v>
      </c>
      <c r="M22" s="1842">
        <f t="shared" si="2"/>
        <v>0</v>
      </c>
      <c r="N22" s="1843">
        <f t="shared" si="3"/>
        <v>0</v>
      </c>
      <c r="O22" s="1844">
        <f t="shared" si="4"/>
        <v>0</v>
      </c>
      <c r="P22" s="1846"/>
      <c r="Q22" s="1846"/>
      <c r="R22" s="1846"/>
      <c r="S22" s="1846"/>
      <c r="T22" s="1846"/>
      <c r="U22" s="1846"/>
      <c r="V22" s="1846"/>
    </row>
    <row r="23" spans="1:22" ht="15">
      <c r="A23" s="1848">
        <v>512132</v>
      </c>
      <c r="B23" s="1848">
        <v>512232</v>
      </c>
      <c r="C23" s="1848" t="s">
        <v>944</v>
      </c>
      <c r="D23" s="1849"/>
      <c r="E23" s="1849"/>
      <c r="F23" s="1849">
        <v>68</v>
      </c>
      <c r="G23" s="1849">
        <v>754</v>
      </c>
      <c r="H23" s="1850"/>
      <c r="I23" s="1850"/>
      <c r="J23" s="1850">
        <v>0</v>
      </c>
      <c r="K23" s="1851">
        <f t="shared" si="0"/>
        <v>822</v>
      </c>
      <c r="L23" s="1852">
        <f t="shared" si="1"/>
        <v>0</v>
      </c>
      <c r="M23" s="1852">
        <f t="shared" si="2"/>
        <v>0</v>
      </c>
      <c r="N23" s="1853">
        <f t="shared" si="3"/>
        <v>0</v>
      </c>
      <c r="O23" s="1854">
        <f t="shared" si="4"/>
        <v>822</v>
      </c>
      <c r="P23" s="1824"/>
      <c r="Q23" s="1824"/>
      <c r="R23" s="1824"/>
      <c r="S23" s="1824"/>
      <c r="T23" s="1824"/>
      <c r="U23" s="1824"/>
      <c r="V23" s="1824"/>
    </row>
    <row r="24" spans="1:22" ht="15">
      <c r="A24" s="1848">
        <v>512142</v>
      </c>
      <c r="B24" s="1848">
        <v>512242</v>
      </c>
      <c r="C24" s="1848" t="s">
        <v>945</v>
      </c>
      <c r="D24" s="1849"/>
      <c r="E24" s="1849"/>
      <c r="F24" s="1849">
        <v>50</v>
      </c>
      <c r="G24" s="1849">
        <v>50</v>
      </c>
      <c r="H24" s="1850">
        <v>0</v>
      </c>
      <c r="I24" s="1850"/>
      <c r="J24" s="1850">
        <v>0</v>
      </c>
      <c r="K24" s="1851">
        <f t="shared" si="0"/>
        <v>100</v>
      </c>
      <c r="L24" s="1852">
        <f t="shared" si="1"/>
        <v>0</v>
      </c>
      <c r="M24" s="1852">
        <f t="shared" si="2"/>
        <v>0</v>
      </c>
      <c r="N24" s="1853">
        <f t="shared" si="3"/>
        <v>0</v>
      </c>
      <c r="O24" s="1854">
        <f t="shared" si="4"/>
        <v>100</v>
      </c>
      <c r="P24" s="1824"/>
      <c r="Q24" s="1824"/>
      <c r="R24" s="1824"/>
      <c r="S24" s="1824"/>
      <c r="T24" s="1824"/>
      <c r="U24" s="1824"/>
      <c r="V24" s="1824"/>
    </row>
    <row r="25" spans="1:22" ht="15">
      <c r="A25" s="1848">
        <v>512192</v>
      </c>
      <c r="B25" s="1848">
        <v>512292</v>
      </c>
      <c r="C25" s="1848" t="s">
        <v>946</v>
      </c>
      <c r="D25" s="1849">
        <v>11</v>
      </c>
      <c r="E25" s="1849">
        <v>25</v>
      </c>
      <c r="F25" s="1849">
        <v>378</v>
      </c>
      <c r="G25" s="1849">
        <v>1071</v>
      </c>
      <c r="H25" s="1850">
        <v>315</v>
      </c>
      <c r="I25" s="1850"/>
      <c r="J25" s="1850">
        <v>50</v>
      </c>
      <c r="K25" s="1851">
        <f t="shared" si="0"/>
        <v>1850</v>
      </c>
      <c r="L25" s="1852">
        <v>4</v>
      </c>
      <c r="M25" s="1852">
        <v>3</v>
      </c>
      <c r="N25" s="1853">
        <v>2</v>
      </c>
      <c r="O25" s="1854">
        <f t="shared" si="4"/>
        <v>1859</v>
      </c>
      <c r="P25" s="1824"/>
      <c r="Q25" s="1824"/>
      <c r="R25" s="1824"/>
      <c r="S25" s="1824"/>
      <c r="T25" s="1824"/>
      <c r="U25" s="1824"/>
      <c r="V25" s="1824"/>
    </row>
    <row r="26" spans="1:22" ht="15">
      <c r="A26" s="1848"/>
      <c r="B26" s="1848"/>
      <c r="C26" s="1848" t="s">
        <v>414</v>
      </c>
      <c r="D26" s="1849"/>
      <c r="E26" s="1849"/>
      <c r="F26" s="1849">
        <v>50</v>
      </c>
      <c r="G26" s="1849">
        <v>400</v>
      </c>
      <c r="H26" s="1850"/>
      <c r="I26" s="1850"/>
      <c r="J26" s="1850">
        <v>0</v>
      </c>
      <c r="K26" s="1851">
        <f t="shared" si="0"/>
        <v>450</v>
      </c>
      <c r="L26" s="1852">
        <f>ROUND(I26*8/100,)</f>
        <v>0</v>
      </c>
      <c r="M26" s="1852">
        <f>ROUND(I26*7/100,)</f>
        <v>0</v>
      </c>
      <c r="N26" s="1853">
        <f>ROUND(I26*3/100,)</f>
        <v>0</v>
      </c>
      <c r="O26" s="1854">
        <f t="shared" si="4"/>
        <v>450</v>
      </c>
      <c r="P26" s="1824"/>
      <c r="Q26" s="1824"/>
      <c r="R26" s="1824"/>
      <c r="S26" s="1824"/>
      <c r="T26" s="1824"/>
      <c r="U26" s="1824"/>
      <c r="V26" s="1824"/>
    </row>
    <row r="27" spans="1:22" s="1847" customFormat="1" ht="15">
      <c r="A27" s="1837">
        <v>512</v>
      </c>
      <c r="B27" s="1837">
        <v>512</v>
      </c>
      <c r="C27" s="1837" t="s">
        <v>947</v>
      </c>
      <c r="D27" s="1839">
        <f aca="true" t="shared" si="7" ref="D27:J27">SUM(D23:D26)</f>
        <v>11</v>
      </c>
      <c r="E27" s="1839">
        <f t="shared" si="7"/>
        <v>25</v>
      </c>
      <c r="F27" s="1839">
        <f t="shared" si="7"/>
        <v>546</v>
      </c>
      <c r="G27" s="1839">
        <f t="shared" si="7"/>
        <v>2275</v>
      </c>
      <c r="H27" s="1839">
        <f t="shared" si="7"/>
        <v>315</v>
      </c>
      <c r="I27" s="1839">
        <f t="shared" si="7"/>
        <v>0</v>
      </c>
      <c r="J27" s="1839">
        <f t="shared" si="7"/>
        <v>50</v>
      </c>
      <c r="K27" s="1841">
        <f t="shared" si="0"/>
        <v>3222</v>
      </c>
      <c r="L27" s="1842">
        <f>SUM(L23:L26)</f>
        <v>4</v>
      </c>
      <c r="M27" s="1842">
        <f>SUM(M23:M26)</f>
        <v>3</v>
      </c>
      <c r="N27" s="1843">
        <f>SUM(N23:N26)</f>
        <v>2</v>
      </c>
      <c r="O27" s="1844">
        <f t="shared" si="4"/>
        <v>3231</v>
      </c>
      <c r="P27" s="1846"/>
      <c r="Q27" s="1846"/>
      <c r="R27" s="1846"/>
      <c r="S27" s="1846"/>
      <c r="T27" s="1846"/>
      <c r="U27" s="1846"/>
      <c r="V27" s="1846"/>
    </row>
    <row r="28" spans="1:22" ht="15">
      <c r="A28" s="1848">
        <v>513122</v>
      </c>
      <c r="B28" s="1848">
        <v>513222</v>
      </c>
      <c r="C28" s="1848" t="s">
        <v>1112</v>
      </c>
      <c r="D28" s="1849">
        <v>92</v>
      </c>
      <c r="E28" s="1849">
        <v>221</v>
      </c>
      <c r="F28" s="1849">
        <v>1504</v>
      </c>
      <c r="G28" s="1849">
        <v>991</v>
      </c>
      <c r="H28" s="1850"/>
      <c r="I28" s="1850"/>
      <c r="J28" s="1850">
        <v>264</v>
      </c>
      <c r="K28" s="1851">
        <f t="shared" si="0"/>
        <v>3072</v>
      </c>
      <c r="L28" s="1852">
        <v>38</v>
      </c>
      <c r="M28" s="1852">
        <v>27</v>
      </c>
      <c r="N28" s="1853">
        <v>16</v>
      </c>
      <c r="O28" s="1854">
        <f t="shared" si="4"/>
        <v>3153</v>
      </c>
      <c r="P28" s="1824"/>
      <c r="Q28" s="1824"/>
      <c r="R28" s="1824"/>
      <c r="S28" s="1824"/>
      <c r="T28" s="1824"/>
      <c r="U28" s="1824"/>
      <c r="V28" s="1824"/>
    </row>
    <row r="29" spans="1:22" ht="15">
      <c r="A29" s="1848">
        <v>513132</v>
      </c>
      <c r="B29" s="1848">
        <v>513232</v>
      </c>
      <c r="C29" s="1848" t="s">
        <v>949</v>
      </c>
      <c r="D29" s="1849"/>
      <c r="E29" s="1849">
        <v>0</v>
      </c>
      <c r="F29" s="1849">
        <v>12</v>
      </c>
      <c r="G29" s="1849">
        <v>27</v>
      </c>
      <c r="H29" s="1850">
        <v>0</v>
      </c>
      <c r="I29" s="1850">
        <v>0</v>
      </c>
      <c r="J29" s="1850">
        <v>3.84</v>
      </c>
      <c r="K29" s="1851">
        <f t="shared" si="0"/>
        <v>42.84</v>
      </c>
      <c r="L29" s="1852">
        <f>ROUND(I29*8/100,)</f>
        <v>0</v>
      </c>
      <c r="M29" s="1852">
        <f>ROUND(I29*7/100,)</f>
        <v>0</v>
      </c>
      <c r="N29" s="1853">
        <f>ROUND(I29*3/100,)</f>
        <v>0</v>
      </c>
      <c r="O29" s="1854">
        <f t="shared" si="4"/>
        <v>42.84</v>
      </c>
      <c r="P29" s="1824"/>
      <c r="Q29" s="1824"/>
      <c r="R29" s="1824"/>
      <c r="S29" s="1824"/>
      <c r="T29" s="1824"/>
      <c r="U29" s="1824"/>
      <c r="V29" s="1824"/>
    </row>
    <row r="30" spans="1:22" ht="15">
      <c r="A30" s="1848">
        <v>513192</v>
      </c>
      <c r="B30" s="1848">
        <v>513292</v>
      </c>
      <c r="C30" s="1848" t="s">
        <v>2065</v>
      </c>
      <c r="D30" s="1849"/>
      <c r="E30" s="1849"/>
      <c r="F30" s="1849">
        <v>50</v>
      </c>
      <c r="G30" s="1849">
        <v>107</v>
      </c>
      <c r="H30" s="1850">
        <v>32</v>
      </c>
      <c r="I30" s="1850"/>
      <c r="J30" s="1850">
        <v>3</v>
      </c>
      <c r="K30" s="1851">
        <f t="shared" si="0"/>
        <v>192</v>
      </c>
      <c r="L30" s="1852">
        <v>0</v>
      </c>
      <c r="M30" s="1852">
        <v>0</v>
      </c>
      <c r="N30" s="1853">
        <f>ROUND(I30*3/100,)</f>
        <v>0</v>
      </c>
      <c r="O30" s="1854">
        <f t="shared" si="4"/>
        <v>192</v>
      </c>
      <c r="P30" s="1824"/>
      <c r="Q30" s="1824"/>
      <c r="R30" s="1824"/>
      <c r="S30" s="1824"/>
      <c r="T30" s="1824"/>
      <c r="U30" s="1824"/>
      <c r="V30" s="1824"/>
    </row>
    <row r="31" spans="1:22" s="1847" customFormat="1" ht="15">
      <c r="A31" s="1837">
        <v>513</v>
      </c>
      <c r="B31" s="1837">
        <v>513</v>
      </c>
      <c r="C31" s="1837" t="s">
        <v>1171</v>
      </c>
      <c r="D31" s="1839">
        <f aca="true" t="shared" si="8" ref="D31:I31">SUM(D28:D30)</f>
        <v>92</v>
      </c>
      <c r="E31" s="1839">
        <f t="shared" si="8"/>
        <v>221</v>
      </c>
      <c r="F31" s="1839">
        <f t="shared" si="8"/>
        <v>1566</v>
      </c>
      <c r="G31" s="1839">
        <f t="shared" si="8"/>
        <v>1125</v>
      </c>
      <c r="H31" s="1839">
        <f t="shared" si="8"/>
        <v>32</v>
      </c>
      <c r="I31" s="1839">
        <f t="shared" si="8"/>
        <v>0</v>
      </c>
      <c r="J31" s="1839">
        <f>SUM(J28:J30)</f>
        <v>270.84</v>
      </c>
      <c r="K31" s="1841">
        <f t="shared" si="0"/>
        <v>3306.84</v>
      </c>
      <c r="L31" s="1842">
        <f>SUM(L28:L30)</f>
        <v>38</v>
      </c>
      <c r="M31" s="1842">
        <f>SUM(M28:M30)</f>
        <v>27</v>
      </c>
      <c r="N31" s="1842">
        <f>SUM(N28:N30)</f>
        <v>16</v>
      </c>
      <c r="O31" s="1844">
        <f t="shared" si="4"/>
        <v>3387.84</v>
      </c>
      <c r="P31" s="1846"/>
      <c r="Q31" s="1846"/>
      <c r="R31" s="1846"/>
      <c r="S31" s="1846"/>
      <c r="T31" s="1846"/>
      <c r="U31" s="1846"/>
      <c r="V31" s="1846"/>
    </row>
    <row r="32" spans="1:22" ht="15">
      <c r="A32" s="1848">
        <v>514132</v>
      </c>
      <c r="B32" s="1848">
        <v>514232</v>
      </c>
      <c r="C32" s="1848" t="s">
        <v>951</v>
      </c>
      <c r="D32" s="1849">
        <v>18</v>
      </c>
      <c r="E32" s="1849">
        <v>44</v>
      </c>
      <c r="F32" s="1849"/>
      <c r="G32" s="1849">
        <v>169</v>
      </c>
      <c r="H32" s="1850"/>
      <c r="I32" s="1850"/>
      <c r="J32" s="1850">
        <v>0</v>
      </c>
      <c r="K32" s="1851">
        <f t="shared" si="0"/>
        <v>231</v>
      </c>
      <c r="L32" s="1852">
        <v>8</v>
      </c>
      <c r="M32" s="1852">
        <v>5</v>
      </c>
      <c r="N32" s="1853">
        <v>3</v>
      </c>
      <c r="O32" s="1854">
        <f t="shared" si="4"/>
        <v>247</v>
      </c>
      <c r="P32" s="1824"/>
      <c r="Q32" s="1824"/>
      <c r="R32" s="1824"/>
      <c r="S32" s="1824"/>
      <c r="T32" s="1824"/>
      <c r="U32" s="1824"/>
      <c r="V32" s="1824"/>
    </row>
    <row r="33" spans="1:22" ht="15">
      <c r="A33" s="1848">
        <v>514142</v>
      </c>
      <c r="B33" s="1848">
        <v>514242</v>
      </c>
      <c r="C33" s="1848" t="s">
        <v>952</v>
      </c>
      <c r="D33" s="1849"/>
      <c r="E33" s="1849"/>
      <c r="F33" s="1849"/>
      <c r="G33" s="1849"/>
      <c r="H33" s="1850"/>
      <c r="I33" s="1850"/>
      <c r="J33" s="1850">
        <v>0</v>
      </c>
      <c r="K33" s="1851">
        <f t="shared" si="0"/>
        <v>0</v>
      </c>
      <c r="L33" s="1852">
        <f>ROUND(I33*8/100,)</f>
        <v>0</v>
      </c>
      <c r="M33" s="1852">
        <f>ROUND(I33*7/100,)</f>
        <v>0</v>
      </c>
      <c r="N33" s="1853">
        <f>ROUND(I33*3/100,)</f>
        <v>0</v>
      </c>
      <c r="O33" s="1854">
        <f t="shared" si="4"/>
        <v>0</v>
      </c>
      <c r="P33" s="1824"/>
      <c r="Q33" s="1824"/>
      <c r="R33" s="1824"/>
      <c r="S33" s="1824"/>
      <c r="T33" s="1824"/>
      <c r="U33" s="1824"/>
      <c r="V33" s="1824"/>
    </row>
    <row r="34" spans="1:22" ht="15">
      <c r="A34" s="1848">
        <v>514192</v>
      </c>
      <c r="B34" s="1848">
        <v>514292</v>
      </c>
      <c r="C34" s="1857" t="s">
        <v>2066</v>
      </c>
      <c r="D34" s="1849"/>
      <c r="E34" s="1849"/>
      <c r="F34" s="1849"/>
      <c r="G34" s="1849"/>
      <c r="H34" s="1850">
        <v>0</v>
      </c>
      <c r="I34" s="1850">
        <v>0</v>
      </c>
      <c r="J34" s="1850">
        <v>0</v>
      </c>
      <c r="K34" s="1851">
        <f t="shared" si="0"/>
        <v>0</v>
      </c>
      <c r="L34" s="1852">
        <f>ROUND(I34*8/100,)</f>
        <v>0</v>
      </c>
      <c r="M34" s="1852">
        <f>ROUND(I34*7/100,)</f>
        <v>0</v>
      </c>
      <c r="N34" s="1853">
        <f>ROUND(I34*3/100,)</f>
        <v>0</v>
      </c>
      <c r="O34" s="1854">
        <f t="shared" si="4"/>
        <v>0</v>
      </c>
      <c r="P34" s="1824"/>
      <c r="Q34" s="1824"/>
      <c r="R34" s="1824"/>
      <c r="S34" s="1824"/>
      <c r="T34" s="1824"/>
      <c r="U34" s="1824"/>
      <c r="V34" s="1824"/>
    </row>
    <row r="35" spans="1:22" s="1847" customFormat="1" ht="15">
      <c r="A35" s="1837">
        <v>514</v>
      </c>
      <c r="B35" s="1837">
        <v>514</v>
      </c>
      <c r="C35" s="1858" t="s">
        <v>954</v>
      </c>
      <c r="D35" s="1839">
        <f aca="true" t="shared" si="9" ref="D35:I35">SUM(D32:D34)</f>
        <v>18</v>
      </c>
      <c r="E35" s="1839">
        <f t="shared" si="9"/>
        <v>44</v>
      </c>
      <c r="F35" s="1839">
        <f t="shared" si="9"/>
        <v>0</v>
      </c>
      <c r="G35" s="1839">
        <f t="shared" si="9"/>
        <v>169</v>
      </c>
      <c r="H35" s="1839">
        <f t="shared" si="9"/>
        <v>0</v>
      </c>
      <c r="I35" s="1839">
        <f t="shared" si="9"/>
        <v>0</v>
      </c>
      <c r="J35" s="1839">
        <v>0</v>
      </c>
      <c r="K35" s="1841">
        <f t="shared" si="0"/>
        <v>231</v>
      </c>
      <c r="L35" s="1842">
        <f>SUM(L32:L34)</f>
        <v>8</v>
      </c>
      <c r="M35" s="1842">
        <f>SUM(M32:M34)</f>
        <v>5</v>
      </c>
      <c r="N35" s="1843">
        <f>SUM(N32:N34)</f>
        <v>3</v>
      </c>
      <c r="O35" s="1844">
        <f t="shared" si="4"/>
        <v>247</v>
      </c>
      <c r="P35" s="1846"/>
      <c r="Q35" s="1846"/>
      <c r="R35" s="1846"/>
      <c r="S35" s="1846"/>
      <c r="T35" s="1846"/>
      <c r="U35" s="1846"/>
      <c r="V35" s="1846"/>
    </row>
    <row r="36" spans="1:22" ht="15">
      <c r="A36" s="1848"/>
      <c r="B36" s="1848"/>
      <c r="C36" s="1855"/>
      <c r="D36" s="1859"/>
      <c r="E36" s="1859"/>
      <c r="F36" s="1859"/>
      <c r="G36" s="1859"/>
      <c r="H36" s="1860"/>
      <c r="I36" s="1860"/>
      <c r="J36" s="1860">
        <v>0</v>
      </c>
      <c r="K36" s="1851"/>
      <c r="L36" s="1859"/>
      <c r="M36" s="1859"/>
      <c r="N36" s="1861"/>
      <c r="O36" s="1854">
        <f t="shared" si="4"/>
        <v>0</v>
      </c>
      <c r="P36" s="1824"/>
      <c r="Q36" s="1824"/>
      <c r="R36" s="1824"/>
      <c r="S36" s="1824"/>
      <c r="T36" s="1824"/>
      <c r="U36" s="1824"/>
      <c r="V36" s="1824"/>
    </row>
    <row r="37" spans="1:22" s="1867" customFormat="1" ht="15">
      <c r="A37" s="1862">
        <v>51</v>
      </c>
      <c r="B37" s="1863"/>
      <c r="C37" s="1862" t="s">
        <v>165</v>
      </c>
      <c r="D37" s="1864">
        <f aca="true" t="shared" si="10" ref="D37:J37">D12+D19+D22+D27+D31+D35</f>
        <v>3255</v>
      </c>
      <c r="E37" s="1864">
        <f t="shared" si="10"/>
        <v>7848</v>
      </c>
      <c r="F37" s="1864">
        <f t="shared" si="10"/>
        <v>15950</v>
      </c>
      <c r="G37" s="1864">
        <f t="shared" si="10"/>
        <v>44065</v>
      </c>
      <c r="H37" s="1864">
        <f t="shared" si="10"/>
        <v>9996</v>
      </c>
      <c r="I37" s="1864">
        <f t="shared" si="10"/>
        <v>0</v>
      </c>
      <c r="J37" s="1864">
        <f t="shared" si="10"/>
        <v>5324.84</v>
      </c>
      <c r="K37" s="1865">
        <f aca="true" t="shared" si="11" ref="K37:K43">SUM(D37:J37)</f>
        <v>86438.84</v>
      </c>
      <c r="L37" s="1865">
        <f>L12+L19+L22+L27+L31+L35</f>
        <v>1340</v>
      </c>
      <c r="M37" s="1865">
        <f>SUM(M12+M19+M22+M27+M31+M35)</f>
        <v>957</v>
      </c>
      <c r="N37" s="1865">
        <f>SUM(N12+N19+N22+N27+N31+N35)</f>
        <v>574</v>
      </c>
      <c r="O37" s="1864">
        <f>SUM(O12+O19+O22+O27+O31+O35)</f>
        <v>89309.84</v>
      </c>
      <c r="P37" s="1866"/>
      <c r="Q37" s="1866"/>
      <c r="R37" s="1866"/>
      <c r="S37" s="1866"/>
      <c r="T37" s="1866"/>
      <c r="U37" s="1866"/>
      <c r="V37" s="1866"/>
    </row>
    <row r="38" spans="1:22" ht="15">
      <c r="A38" s="1855"/>
      <c r="B38" s="1848"/>
      <c r="C38" s="1855"/>
      <c r="D38" s="1859"/>
      <c r="E38" s="1859"/>
      <c r="F38" s="1859"/>
      <c r="G38" s="1859"/>
      <c r="H38" s="1860"/>
      <c r="I38" s="1860"/>
      <c r="J38" s="1860">
        <v>0</v>
      </c>
      <c r="K38" s="1851">
        <f t="shared" si="11"/>
        <v>0</v>
      </c>
      <c r="L38" s="1852">
        <f>ROUND(I38*8/100,)</f>
        <v>0</v>
      </c>
      <c r="M38" s="1852">
        <f>ROUND(I38*7/100,)</f>
        <v>0</v>
      </c>
      <c r="N38" s="1853">
        <f>ROUND(I38*3/100,)</f>
        <v>0</v>
      </c>
      <c r="O38" s="1854">
        <f t="shared" si="4"/>
        <v>0</v>
      </c>
      <c r="P38" s="1824"/>
      <c r="Q38" s="1824"/>
      <c r="R38" s="1824"/>
      <c r="S38" s="1824"/>
      <c r="T38" s="1824"/>
      <c r="U38" s="1824"/>
      <c r="V38" s="1824"/>
    </row>
    <row r="39" spans="1:22" ht="15">
      <c r="A39" s="1868">
        <v>52211</v>
      </c>
      <c r="B39" s="1868">
        <v>52221</v>
      </c>
      <c r="C39" s="1869" t="s">
        <v>887</v>
      </c>
      <c r="D39" s="1852"/>
      <c r="E39" s="1852"/>
      <c r="F39" s="1852"/>
      <c r="G39" s="1852">
        <v>150</v>
      </c>
      <c r="H39" s="1870"/>
      <c r="I39" s="1870"/>
      <c r="J39" s="1870">
        <v>24</v>
      </c>
      <c r="K39" s="1851">
        <f t="shared" si="11"/>
        <v>174</v>
      </c>
      <c r="L39" s="1852">
        <f>ROUND(I39*8/100,)</f>
        <v>0</v>
      </c>
      <c r="M39" s="1852">
        <f>ROUND(I39*7/100,)</f>
        <v>0</v>
      </c>
      <c r="N39" s="1853">
        <f>ROUND(I39*3/100,)</f>
        <v>0</v>
      </c>
      <c r="O39" s="1854">
        <f t="shared" si="4"/>
        <v>174</v>
      </c>
      <c r="P39" s="1824"/>
      <c r="Q39" s="1824"/>
      <c r="R39" s="1824"/>
      <c r="S39" s="1824"/>
      <c r="T39" s="1824"/>
      <c r="U39" s="1824"/>
      <c r="V39" s="1824"/>
    </row>
    <row r="40" spans="1:22" ht="15">
      <c r="A40" s="1868">
        <v>52217</v>
      </c>
      <c r="B40" s="1868">
        <v>52227</v>
      </c>
      <c r="C40" s="1869" t="s">
        <v>955</v>
      </c>
      <c r="D40" s="1871"/>
      <c r="E40" s="1871"/>
      <c r="F40" s="1871"/>
      <c r="G40" s="1871"/>
      <c r="H40" s="1872"/>
      <c r="I40" s="1872"/>
      <c r="J40" s="1872">
        <v>0</v>
      </c>
      <c r="K40" s="1851">
        <f t="shared" si="11"/>
        <v>0</v>
      </c>
      <c r="L40" s="1852">
        <f>ROUND(I40*8/100,)</f>
        <v>0</v>
      </c>
      <c r="M40" s="1852">
        <f>ROUND(I40*7/100,)</f>
        <v>0</v>
      </c>
      <c r="N40" s="1853">
        <f>ROUND(I40*3/100,)</f>
        <v>0</v>
      </c>
      <c r="O40" s="1854">
        <f t="shared" si="4"/>
        <v>0</v>
      </c>
      <c r="P40" s="1824"/>
      <c r="Q40" s="1824"/>
      <c r="R40" s="1824"/>
      <c r="S40" s="1824"/>
      <c r="T40" s="1824"/>
      <c r="U40" s="1824"/>
      <c r="V40" s="1824"/>
    </row>
    <row r="41" spans="1:22" s="1867" customFormat="1" ht="15">
      <c r="A41" s="1862">
        <v>52</v>
      </c>
      <c r="B41" s="1863"/>
      <c r="C41" s="1862" t="s">
        <v>325</v>
      </c>
      <c r="D41" s="1873">
        <f aca="true" t="shared" si="12" ref="D41:I41">D39+D40</f>
        <v>0</v>
      </c>
      <c r="E41" s="1873">
        <f t="shared" si="12"/>
        <v>0</v>
      </c>
      <c r="F41" s="1873">
        <f t="shared" si="12"/>
        <v>0</v>
      </c>
      <c r="G41" s="1873">
        <f t="shared" si="12"/>
        <v>150</v>
      </c>
      <c r="H41" s="1873">
        <f t="shared" si="12"/>
        <v>0</v>
      </c>
      <c r="I41" s="1873">
        <f t="shared" si="12"/>
        <v>0</v>
      </c>
      <c r="J41" s="1873">
        <f>SUM(J38:J40)</f>
        <v>24</v>
      </c>
      <c r="K41" s="1865">
        <f t="shared" si="11"/>
        <v>174</v>
      </c>
      <c r="L41" s="1874">
        <f>ROUND(I41*8/100,)</f>
        <v>0</v>
      </c>
      <c r="M41" s="1874">
        <f>ROUND(I41*7/100,)</f>
        <v>0</v>
      </c>
      <c r="N41" s="1875">
        <f>ROUND(I41*3/100,)</f>
        <v>0</v>
      </c>
      <c r="O41" s="1876">
        <f t="shared" si="4"/>
        <v>174</v>
      </c>
      <c r="P41" s="1866"/>
      <c r="Q41" s="1866"/>
      <c r="R41" s="1866"/>
      <c r="S41" s="1866"/>
      <c r="T41" s="1866"/>
      <c r="U41" s="1866"/>
      <c r="V41" s="1866"/>
    </row>
    <row r="42" spans="1:22" ht="15">
      <c r="A42" s="1869"/>
      <c r="B42" s="1868"/>
      <c r="C42" s="1869"/>
      <c r="D42" s="1871"/>
      <c r="E42" s="1871"/>
      <c r="F42" s="1871"/>
      <c r="G42" s="1871"/>
      <c r="H42" s="1872"/>
      <c r="I42" s="1872"/>
      <c r="J42" s="1872"/>
      <c r="K42" s="1861">
        <f t="shared" si="11"/>
        <v>0</v>
      </c>
      <c r="L42" s="1849"/>
      <c r="M42" s="1849"/>
      <c r="N42" s="1877"/>
      <c r="O42" s="1850"/>
      <c r="P42" s="1824"/>
      <c r="Q42" s="1824"/>
      <c r="R42" s="1824"/>
      <c r="S42" s="1824"/>
      <c r="T42" s="1824"/>
      <c r="U42" s="1824"/>
      <c r="V42" s="1824"/>
    </row>
    <row r="43" spans="1:22" s="1883" customFormat="1" ht="15">
      <c r="A43" s="1878"/>
      <c r="B43" s="1879"/>
      <c r="C43" s="1878" t="s">
        <v>326</v>
      </c>
      <c r="D43" s="1880">
        <f>SUM(D37+D41)</f>
        <v>3255</v>
      </c>
      <c r="E43" s="1880">
        <f aca="true" t="shared" si="13" ref="E43:O43">SUM(E37+E41)</f>
        <v>7848</v>
      </c>
      <c r="F43" s="1880">
        <f t="shared" si="13"/>
        <v>15950</v>
      </c>
      <c r="G43" s="1880">
        <f>G37+G39</f>
        <v>44215</v>
      </c>
      <c r="H43" s="1880">
        <f t="shared" si="13"/>
        <v>9996</v>
      </c>
      <c r="I43" s="1880">
        <f t="shared" si="13"/>
        <v>0</v>
      </c>
      <c r="J43" s="1880">
        <f>J37+J41</f>
        <v>5348.84</v>
      </c>
      <c r="K43" s="1881">
        <f t="shared" si="11"/>
        <v>86612.84</v>
      </c>
      <c r="L43" s="1880">
        <f t="shared" si="13"/>
        <v>1340</v>
      </c>
      <c r="M43" s="1880">
        <f t="shared" si="13"/>
        <v>957</v>
      </c>
      <c r="N43" s="1880">
        <f t="shared" si="13"/>
        <v>574</v>
      </c>
      <c r="O43" s="1880">
        <f t="shared" si="13"/>
        <v>89483.84</v>
      </c>
      <c r="P43" s="1882"/>
      <c r="Q43" s="1882"/>
      <c r="R43" s="1882"/>
      <c r="S43" s="1882"/>
      <c r="T43" s="1882"/>
      <c r="U43" s="1882"/>
      <c r="V43" s="1882"/>
    </row>
    <row r="44" spans="1:22" ht="15">
      <c r="A44" s="1884"/>
      <c r="B44" s="1885"/>
      <c r="C44" s="1884"/>
      <c r="D44" s="1886"/>
      <c r="E44" s="1886"/>
      <c r="F44" s="1886"/>
      <c r="G44" s="1886"/>
      <c r="H44" s="1886"/>
      <c r="I44" s="1886"/>
      <c r="J44" s="1886"/>
      <c r="K44" s="1861"/>
      <c r="L44" s="1870"/>
      <c r="M44" s="1870"/>
      <c r="N44" s="1887"/>
      <c r="O44" s="1850"/>
      <c r="P44" s="1824"/>
      <c r="Q44" s="1888">
        <f>SUM(O41+O35+O31+O27+O22+O19+O12)</f>
        <v>89483.84</v>
      </c>
      <c r="R44" s="1824"/>
      <c r="S44" s="1824"/>
      <c r="T44" s="1824"/>
      <c r="U44" s="1824"/>
      <c r="V44" s="1824"/>
    </row>
    <row r="45" spans="1:22" ht="15">
      <c r="A45" s="2930" t="s">
        <v>328</v>
      </c>
      <c r="B45" s="2931"/>
      <c r="C45" s="2932"/>
      <c r="D45" s="1871"/>
      <c r="E45" s="1871"/>
      <c r="F45" s="1871"/>
      <c r="G45" s="1871"/>
      <c r="H45" s="1872"/>
      <c r="I45" s="1872"/>
      <c r="J45" s="1872"/>
      <c r="K45" s="1861"/>
      <c r="L45" s="1870"/>
      <c r="M45" s="1870"/>
      <c r="N45" s="1887"/>
      <c r="O45" s="1850"/>
      <c r="P45" s="1824"/>
      <c r="Q45" s="1824"/>
      <c r="R45" s="1824"/>
      <c r="S45" s="1824"/>
      <c r="T45" s="1824"/>
      <c r="U45" s="1824"/>
      <c r="V45" s="1824"/>
    </row>
    <row r="46" spans="1:22" ht="15">
      <c r="A46" s="1889">
        <v>5311</v>
      </c>
      <c r="B46" s="1889">
        <v>5312</v>
      </c>
      <c r="C46" s="1889" t="s">
        <v>2067</v>
      </c>
      <c r="D46" s="1890">
        <f>(D12+D19+D22+D27+D28)*27/100</f>
        <v>873.99</v>
      </c>
      <c r="E46" s="1890">
        <f>(E12+E19+E22+E27+E28)*27/100</f>
        <v>2107.08</v>
      </c>
      <c r="F46" s="1890">
        <f>(F12+F19+F22+F27+F28+F41)*27/100</f>
        <v>4289.76</v>
      </c>
      <c r="G46" s="1890">
        <f>(G12+G19+G22+G27+G28+G41)*27/100</f>
        <v>11856.24</v>
      </c>
      <c r="H46" s="1890">
        <f>(H12+H19+H22+H27+H28+H41)*27/100</f>
        <v>2690.28</v>
      </c>
      <c r="I46" s="1890">
        <f>(I12+I19+I22+I27+I28+I41)*27/100</f>
        <v>0</v>
      </c>
      <c r="J46" s="1890">
        <v>1443</v>
      </c>
      <c r="K46" s="1851">
        <f>SUM(D46:J46)</f>
        <v>23260.35</v>
      </c>
      <c r="L46" s="1870">
        <v>360</v>
      </c>
      <c r="M46" s="1870">
        <v>257</v>
      </c>
      <c r="N46" s="1891">
        <v>154</v>
      </c>
      <c r="O46" s="1854">
        <f t="shared" si="4"/>
        <v>24031.35</v>
      </c>
      <c r="P46" s="1824"/>
      <c r="Q46" s="1824"/>
      <c r="R46" s="1824"/>
      <c r="S46" s="1824"/>
      <c r="T46" s="1824"/>
      <c r="U46" s="1824"/>
      <c r="V46" s="1824"/>
    </row>
    <row r="47" spans="1:22" ht="15">
      <c r="A47" s="1889"/>
      <c r="B47" s="1889"/>
      <c r="C47" s="1889"/>
      <c r="D47" s="1890"/>
      <c r="E47" s="1890"/>
      <c r="F47" s="1890"/>
      <c r="G47" s="1890"/>
      <c r="H47" s="1890"/>
      <c r="I47" s="1890"/>
      <c r="J47" s="1890"/>
      <c r="K47" s="1861"/>
      <c r="L47" s="1870"/>
      <c r="M47" s="1870"/>
      <c r="N47" s="1891"/>
      <c r="O47" s="1850"/>
      <c r="P47" s="1824"/>
      <c r="Q47" s="1824"/>
      <c r="R47" s="1824"/>
      <c r="S47" s="1824"/>
      <c r="T47" s="1824"/>
      <c r="U47" s="1824"/>
      <c r="V47" s="1824"/>
    </row>
    <row r="48" spans="1:22" s="1883" customFormat="1" ht="15">
      <c r="A48" s="1892">
        <v>53</v>
      </c>
      <c r="B48" s="1893"/>
      <c r="C48" s="1892" t="s">
        <v>328</v>
      </c>
      <c r="D48" s="1894">
        <f aca="true" t="shared" si="14" ref="D48:J48">SUM(D46:D47)</f>
        <v>873.99</v>
      </c>
      <c r="E48" s="1894">
        <f t="shared" si="14"/>
        <v>2107.08</v>
      </c>
      <c r="F48" s="1894">
        <f t="shared" si="14"/>
        <v>4289.76</v>
      </c>
      <c r="G48" s="1894">
        <f t="shared" si="14"/>
        <v>11856.24</v>
      </c>
      <c r="H48" s="1894">
        <f t="shared" si="14"/>
        <v>2690.28</v>
      </c>
      <c r="I48" s="1894">
        <f t="shared" si="14"/>
        <v>0</v>
      </c>
      <c r="J48" s="1894">
        <f t="shared" si="14"/>
        <v>1443</v>
      </c>
      <c r="K48" s="1881">
        <f>SUM(D48:J48)</f>
        <v>23260.35</v>
      </c>
      <c r="L48" s="1895">
        <f>SUM(L46:L47)</f>
        <v>360</v>
      </c>
      <c r="M48" s="1895">
        <f>SUM(M46:M47)</f>
        <v>257</v>
      </c>
      <c r="N48" s="1896">
        <f>SUM(N46:N47)</f>
        <v>154</v>
      </c>
      <c r="O48" s="1895">
        <f>SUM(K48:N48)</f>
        <v>24031.35</v>
      </c>
      <c r="P48" s="1882"/>
      <c r="Q48" s="1882"/>
      <c r="R48" s="1882"/>
      <c r="S48" s="1882"/>
      <c r="T48" s="1882"/>
      <c r="U48" s="1882"/>
      <c r="V48" s="1882"/>
    </row>
    <row r="49" spans="1:22" ht="15">
      <c r="A49" s="1884"/>
      <c r="B49" s="1868"/>
      <c r="C49" s="1897"/>
      <c r="D49" s="1852"/>
      <c r="E49" s="1898"/>
      <c r="F49" s="1898"/>
      <c r="G49" s="1898"/>
      <c r="H49" s="1898"/>
      <c r="I49" s="1898"/>
      <c r="J49" s="1898"/>
      <c r="K49" s="1899"/>
      <c r="L49" s="1870"/>
      <c r="M49" s="1870"/>
      <c r="N49" s="1872"/>
      <c r="O49" s="1850">
        <f t="shared" si="4"/>
        <v>0</v>
      </c>
      <c r="P49" s="1824"/>
      <c r="Q49" s="1824"/>
      <c r="R49" s="1824"/>
      <c r="S49" s="1824"/>
      <c r="T49" s="1824"/>
      <c r="U49" s="1824"/>
      <c r="V49" s="1824"/>
    </row>
    <row r="50" spans="1:22" s="1905" customFormat="1" ht="38.25" customHeight="1">
      <c r="A50" s="1900" t="s">
        <v>1115</v>
      </c>
      <c r="B50" s="1901"/>
      <c r="C50" s="1902"/>
      <c r="D50" s="1903">
        <f aca="true" t="shared" si="15" ref="D50:O50">D43+D48</f>
        <v>4128.99</v>
      </c>
      <c r="E50" s="1903">
        <f t="shared" si="15"/>
        <v>9955.08</v>
      </c>
      <c r="F50" s="1903">
        <f t="shared" si="15"/>
        <v>20239.760000000002</v>
      </c>
      <c r="G50" s="1903">
        <f t="shared" si="15"/>
        <v>56071.24</v>
      </c>
      <c r="H50" s="1903">
        <f t="shared" si="15"/>
        <v>12686.28</v>
      </c>
      <c r="I50" s="1903">
        <f t="shared" si="15"/>
        <v>0</v>
      </c>
      <c r="J50" s="1903">
        <f t="shared" si="15"/>
        <v>6791.84</v>
      </c>
      <c r="K50" s="1903">
        <f t="shared" si="15"/>
        <v>109873.19</v>
      </c>
      <c r="L50" s="1903">
        <f t="shared" si="15"/>
        <v>1700</v>
      </c>
      <c r="M50" s="1903">
        <f t="shared" si="15"/>
        <v>1214</v>
      </c>
      <c r="N50" s="1903">
        <f t="shared" si="15"/>
        <v>728</v>
      </c>
      <c r="O50" s="1903">
        <f t="shared" si="15"/>
        <v>113515.19</v>
      </c>
      <c r="P50" s="1904"/>
      <c r="Q50" s="1904"/>
      <c r="R50" s="1904"/>
      <c r="S50" s="1904"/>
      <c r="T50" s="1904"/>
      <c r="U50" s="1904"/>
      <c r="V50" s="1904"/>
    </row>
    <row r="51" spans="1:16" ht="42" customHeight="1">
      <c r="A51" s="1906"/>
      <c r="B51" s="1907"/>
      <c r="C51" s="1908"/>
      <c r="D51" s="2922"/>
      <c r="E51" s="2922"/>
      <c r="F51" s="2923"/>
      <c r="G51" s="2924"/>
      <c r="H51" s="2925"/>
      <c r="I51" s="2925"/>
      <c r="J51" s="2925"/>
      <c r="K51" s="2925"/>
      <c r="L51" s="2925"/>
      <c r="M51" s="2925"/>
      <c r="N51" s="2925"/>
      <c r="O51" s="1913"/>
      <c r="P51" s="1789"/>
    </row>
    <row r="52" spans="1:16" ht="45" customHeight="1" hidden="1">
      <c r="A52" s="1907"/>
      <c r="B52" s="1907"/>
      <c r="C52" s="1908"/>
      <c r="D52" s="1909"/>
      <c r="E52" s="1909"/>
      <c r="F52" s="1910"/>
      <c r="G52" s="1911"/>
      <c r="H52" s="1912"/>
      <c r="I52" s="1912"/>
      <c r="J52" s="1912"/>
      <c r="K52" s="1912"/>
      <c r="L52" s="1912"/>
      <c r="M52" s="1912"/>
      <c r="N52" s="1912"/>
      <c r="O52" s="1914"/>
      <c r="P52" s="1789"/>
    </row>
    <row r="53" spans="1:16" ht="45" customHeight="1" hidden="1">
      <c r="A53" s="1907"/>
      <c r="B53" s="1907"/>
      <c r="C53" s="1908"/>
      <c r="D53" s="1909"/>
      <c r="E53" s="1909"/>
      <c r="F53" s="1910"/>
      <c r="G53" s="1911"/>
      <c r="H53" s="1912"/>
      <c r="I53" s="1912"/>
      <c r="J53" s="1912"/>
      <c r="K53" s="1912"/>
      <c r="L53" s="1912"/>
      <c r="M53" s="1912"/>
      <c r="N53" s="1912"/>
      <c r="O53" s="1914"/>
      <c r="P53" s="1789"/>
    </row>
    <row r="54" spans="1:16" ht="45" customHeight="1" hidden="1">
      <c r="A54" s="1907"/>
      <c r="B54" s="1907"/>
      <c r="C54" s="1908"/>
      <c r="D54" s="1909"/>
      <c r="E54" s="1909"/>
      <c r="F54" s="1910"/>
      <c r="G54" s="1911"/>
      <c r="H54" s="1912"/>
      <c r="I54" s="1912"/>
      <c r="J54" s="1912"/>
      <c r="K54" s="1912"/>
      <c r="L54" s="1912"/>
      <c r="M54" s="1912"/>
      <c r="N54" s="1912"/>
      <c r="O54" s="1914"/>
      <c r="P54" s="1789"/>
    </row>
    <row r="55" spans="1:16" ht="0.75" customHeight="1">
      <c r="A55" s="1907"/>
      <c r="B55" s="1907"/>
      <c r="C55" s="1908"/>
      <c r="D55" s="1909"/>
      <c r="E55" s="1909"/>
      <c r="F55" s="1910"/>
      <c r="G55" s="1911"/>
      <c r="H55" s="1912"/>
      <c r="I55" s="1912"/>
      <c r="J55" s="1912"/>
      <c r="K55" s="1912"/>
      <c r="L55" s="1912"/>
      <c r="M55" s="1912"/>
      <c r="N55" s="1912"/>
      <c r="O55" s="1914"/>
      <c r="P55" s="1789"/>
    </row>
    <row r="56" spans="1:15" ht="15">
      <c r="A56" s="2914" t="s">
        <v>163</v>
      </c>
      <c r="B56" s="2914"/>
      <c r="C56" s="2914" t="s">
        <v>818</v>
      </c>
      <c r="D56" s="1915">
        <v>562912</v>
      </c>
      <c r="E56" s="1916">
        <v>562913</v>
      </c>
      <c r="F56" s="1917">
        <v>852011</v>
      </c>
      <c r="G56" s="1916">
        <v>852021</v>
      </c>
      <c r="H56" s="1915">
        <v>855911</v>
      </c>
      <c r="I56" s="1918">
        <v>855914</v>
      </c>
      <c r="J56" s="1915">
        <v>852021</v>
      </c>
      <c r="K56" s="2920" t="s">
        <v>1433</v>
      </c>
      <c r="L56" s="1799">
        <v>562917</v>
      </c>
      <c r="M56" s="1800">
        <v>562919</v>
      </c>
      <c r="N56" s="1799">
        <v>562920</v>
      </c>
      <c r="O56" s="2912" t="s">
        <v>2046</v>
      </c>
    </row>
    <row r="57" spans="1:15" ht="15">
      <c r="A57" s="2914"/>
      <c r="B57" s="2914"/>
      <c r="C57" s="2914"/>
      <c r="D57" s="1915" t="s">
        <v>2068</v>
      </c>
      <c r="E57" s="1919" t="s">
        <v>2069</v>
      </c>
      <c r="F57" s="1920" t="s">
        <v>2049</v>
      </c>
      <c r="G57" s="1919" t="s">
        <v>2050</v>
      </c>
      <c r="H57" s="1920" t="s">
        <v>2051</v>
      </c>
      <c r="I57" s="1921" t="s">
        <v>2052</v>
      </c>
      <c r="J57" s="1922" t="s">
        <v>2070</v>
      </c>
      <c r="K57" s="2920"/>
      <c r="L57" s="1807" t="s">
        <v>2054</v>
      </c>
      <c r="M57" s="1808" t="s">
        <v>2055</v>
      </c>
      <c r="N57" s="1807" t="s">
        <v>2056</v>
      </c>
      <c r="O57" s="2912"/>
    </row>
    <row r="58" spans="1:15" ht="15">
      <c r="A58" s="2921"/>
      <c r="B58" s="2921"/>
      <c r="C58" s="1923" t="s">
        <v>929</v>
      </c>
      <c r="D58" s="1811" t="s">
        <v>2057</v>
      </c>
      <c r="E58" s="1811" t="s">
        <v>2058</v>
      </c>
      <c r="F58" s="1811" t="s">
        <v>74</v>
      </c>
      <c r="G58" s="1811" t="s">
        <v>74</v>
      </c>
      <c r="H58" s="1811" t="s">
        <v>2059</v>
      </c>
      <c r="I58" s="1811" t="s">
        <v>2059</v>
      </c>
      <c r="J58" s="1811" t="s">
        <v>2060</v>
      </c>
      <c r="K58" s="1924"/>
      <c r="L58" s="1925" t="s">
        <v>2061</v>
      </c>
      <c r="M58" s="1925" t="s">
        <v>2061</v>
      </c>
      <c r="N58" s="1926" t="s">
        <v>2061</v>
      </c>
      <c r="O58" s="1927"/>
    </row>
    <row r="59" spans="1:15" s="1905" customFormat="1" ht="34.5" customHeight="1">
      <c r="A59" s="1928" t="s">
        <v>821</v>
      </c>
      <c r="B59" s="1928" t="s">
        <v>822</v>
      </c>
      <c r="C59" s="1929" t="s">
        <v>511</v>
      </c>
      <c r="D59" s="1930"/>
      <c r="E59" s="1930"/>
      <c r="F59" s="1931"/>
      <c r="G59" s="1931"/>
      <c r="H59" s="1903"/>
      <c r="I59" s="1932"/>
      <c r="J59" s="1933"/>
      <c r="K59" s="1933"/>
      <c r="L59" s="1933"/>
      <c r="M59" s="1903"/>
      <c r="N59" s="1903"/>
      <c r="O59" s="1934"/>
    </row>
    <row r="60" spans="1:15" ht="21" customHeight="1">
      <c r="A60" s="1818"/>
      <c r="B60" s="1818"/>
      <c r="C60" s="1829"/>
      <c r="D60" s="1830"/>
      <c r="E60" s="1830"/>
      <c r="F60" s="1935"/>
      <c r="G60" s="1936"/>
      <c r="H60" s="1871"/>
      <c r="I60" s="1937"/>
      <c r="J60" s="1852"/>
      <c r="K60" s="1934"/>
      <c r="L60" s="1852"/>
      <c r="M60" s="1871"/>
      <c r="N60" s="1871"/>
      <c r="O60" s="1934"/>
    </row>
    <row r="61" spans="1:15" ht="15">
      <c r="A61" s="1868">
        <v>5411</v>
      </c>
      <c r="B61" s="1868">
        <v>5412</v>
      </c>
      <c r="C61" s="1868" t="s">
        <v>1637</v>
      </c>
      <c r="D61" s="1852">
        <v>5726</v>
      </c>
      <c r="E61" s="1852">
        <v>17244</v>
      </c>
      <c r="F61" s="1935"/>
      <c r="G61" s="1936"/>
      <c r="H61" s="1852"/>
      <c r="I61" s="1852"/>
      <c r="J61" s="1852"/>
      <c r="K61" s="1934">
        <f aca="true" t="shared" si="16" ref="K61:K71">SUM(D61:J61)</f>
        <v>22970</v>
      </c>
      <c r="L61" s="1852">
        <v>2807</v>
      </c>
      <c r="M61" s="1852">
        <v>1830</v>
      </c>
      <c r="N61" s="1852">
        <v>753</v>
      </c>
      <c r="O61" s="1934">
        <f>SUM(K61:N61)</f>
        <v>28360</v>
      </c>
    </row>
    <row r="62" spans="1:15" ht="15">
      <c r="A62" s="1868">
        <v>5421</v>
      </c>
      <c r="B62" s="1868">
        <v>5422</v>
      </c>
      <c r="C62" s="1868" t="s">
        <v>2083</v>
      </c>
      <c r="D62" s="1852">
        <v>2</v>
      </c>
      <c r="E62" s="1852">
        <v>4</v>
      </c>
      <c r="F62" s="1935"/>
      <c r="G62" s="1936"/>
      <c r="H62" s="1852"/>
      <c r="I62" s="1852"/>
      <c r="J62" s="1852">
        <v>22</v>
      </c>
      <c r="K62" s="1934">
        <f t="shared" si="16"/>
        <v>28</v>
      </c>
      <c r="L62" s="1852">
        <v>1</v>
      </c>
      <c r="M62" s="1852">
        <v>1</v>
      </c>
      <c r="N62" s="1852">
        <v>0</v>
      </c>
      <c r="O62" s="1934">
        <f aca="true" t="shared" si="17" ref="O62:O106">SUM(K62:N62)</f>
        <v>30</v>
      </c>
    </row>
    <row r="63" spans="1:15" ht="15">
      <c r="A63" s="1868">
        <v>5431</v>
      </c>
      <c r="B63" s="1868">
        <v>5432</v>
      </c>
      <c r="C63" s="1828" t="s">
        <v>1472</v>
      </c>
      <c r="D63" s="1852">
        <v>34</v>
      </c>
      <c r="E63" s="1852">
        <v>82</v>
      </c>
      <c r="F63" s="1935"/>
      <c r="G63" s="1936"/>
      <c r="H63" s="1852"/>
      <c r="I63" s="1852"/>
      <c r="J63" s="1852">
        <v>954</v>
      </c>
      <c r="K63" s="1934">
        <f t="shared" si="16"/>
        <v>1070</v>
      </c>
      <c r="L63" s="1852">
        <v>14</v>
      </c>
      <c r="M63" s="1852">
        <v>10</v>
      </c>
      <c r="N63" s="1852">
        <v>6</v>
      </c>
      <c r="O63" s="1934">
        <f t="shared" si="17"/>
        <v>1100</v>
      </c>
    </row>
    <row r="64" spans="1:15" ht="15">
      <c r="A64" s="1868">
        <v>5441</v>
      </c>
      <c r="B64" s="1868">
        <v>5442</v>
      </c>
      <c r="C64" s="1828" t="s">
        <v>1473</v>
      </c>
      <c r="D64" s="1852">
        <v>0</v>
      </c>
      <c r="E64" s="1852">
        <v>0</v>
      </c>
      <c r="F64" s="1935"/>
      <c r="G64" s="1936"/>
      <c r="H64" s="1852"/>
      <c r="I64" s="1852"/>
      <c r="J64" s="1852">
        <v>100</v>
      </c>
      <c r="K64" s="1934">
        <f t="shared" si="16"/>
        <v>100</v>
      </c>
      <c r="L64" s="1852">
        <v>0</v>
      </c>
      <c r="M64" s="1852">
        <v>0</v>
      </c>
      <c r="N64" s="1852">
        <v>0</v>
      </c>
      <c r="O64" s="1934">
        <f t="shared" si="17"/>
        <v>100</v>
      </c>
    </row>
    <row r="65" spans="1:15" ht="15">
      <c r="A65" s="1868">
        <v>54412</v>
      </c>
      <c r="B65" s="1868">
        <v>54422</v>
      </c>
      <c r="C65" s="1828" t="s">
        <v>1638</v>
      </c>
      <c r="D65" s="1852">
        <v>3</v>
      </c>
      <c r="E65" s="1852">
        <v>8</v>
      </c>
      <c r="F65" s="1935"/>
      <c r="G65" s="1936"/>
      <c r="H65" s="1852"/>
      <c r="I65" s="1852"/>
      <c r="J65" s="1852">
        <v>86</v>
      </c>
      <c r="K65" s="1934">
        <f t="shared" si="16"/>
        <v>97</v>
      </c>
      <c r="L65" s="1852">
        <v>1</v>
      </c>
      <c r="M65" s="1852">
        <v>1</v>
      </c>
      <c r="N65" s="1852">
        <v>1</v>
      </c>
      <c r="O65" s="1934">
        <f t="shared" si="17"/>
        <v>100</v>
      </c>
    </row>
    <row r="66" spans="1:15" ht="15">
      <c r="A66" s="1868">
        <v>5451</v>
      </c>
      <c r="B66" s="1868">
        <v>5452</v>
      </c>
      <c r="C66" s="1828" t="s">
        <v>1639</v>
      </c>
      <c r="D66" s="1852">
        <v>0</v>
      </c>
      <c r="E66" s="1852">
        <v>0</v>
      </c>
      <c r="F66" s="1935"/>
      <c r="G66" s="1936"/>
      <c r="H66" s="1852"/>
      <c r="I66" s="1852"/>
      <c r="J66" s="1852"/>
      <c r="K66" s="1934">
        <f t="shared" si="16"/>
        <v>0</v>
      </c>
      <c r="L66" s="1852">
        <v>0</v>
      </c>
      <c r="M66" s="1852">
        <v>0</v>
      </c>
      <c r="N66" s="1852">
        <v>0</v>
      </c>
      <c r="O66" s="1934">
        <f t="shared" si="17"/>
        <v>0</v>
      </c>
    </row>
    <row r="67" spans="1:15" ht="15">
      <c r="A67" s="1868">
        <v>5461</v>
      </c>
      <c r="B67" s="1868">
        <v>5462</v>
      </c>
      <c r="C67" s="1828" t="s">
        <v>1640</v>
      </c>
      <c r="D67" s="1852">
        <v>0</v>
      </c>
      <c r="E67" s="1852">
        <v>0</v>
      </c>
      <c r="F67" s="1935"/>
      <c r="G67" s="1936"/>
      <c r="H67" s="1852"/>
      <c r="I67" s="1852"/>
      <c r="J67" s="1852"/>
      <c r="K67" s="1934">
        <f t="shared" si="16"/>
        <v>0</v>
      </c>
      <c r="L67" s="1852">
        <v>0</v>
      </c>
      <c r="M67" s="1852">
        <v>0</v>
      </c>
      <c r="N67" s="1852">
        <v>0</v>
      </c>
      <c r="O67" s="1934">
        <f t="shared" si="17"/>
        <v>0</v>
      </c>
    </row>
    <row r="68" spans="1:15" ht="15">
      <c r="A68" s="1868">
        <v>54711</v>
      </c>
      <c r="B68" s="1868">
        <v>54721</v>
      </c>
      <c r="C68" s="1828" t="s">
        <v>1641</v>
      </c>
      <c r="D68" s="1852">
        <v>51</v>
      </c>
      <c r="E68" s="1852">
        <v>123</v>
      </c>
      <c r="F68" s="1935"/>
      <c r="G68" s="1936"/>
      <c r="H68" s="1852"/>
      <c r="I68" s="1852"/>
      <c r="J68" s="1852">
        <v>200</v>
      </c>
      <c r="K68" s="1934">
        <f t="shared" si="16"/>
        <v>374</v>
      </c>
      <c r="L68" s="1852">
        <v>21</v>
      </c>
      <c r="M68" s="1852">
        <v>15</v>
      </c>
      <c r="N68" s="1852">
        <v>9</v>
      </c>
      <c r="O68" s="1934">
        <f t="shared" si="17"/>
        <v>419</v>
      </c>
    </row>
    <row r="69" spans="1:15" ht="15">
      <c r="A69" s="1868">
        <v>54712</v>
      </c>
      <c r="B69" s="1868">
        <v>54722</v>
      </c>
      <c r="C69" s="1828" t="s">
        <v>1642</v>
      </c>
      <c r="D69" s="1852">
        <v>0</v>
      </c>
      <c r="E69" s="1852">
        <v>0</v>
      </c>
      <c r="F69" s="1935"/>
      <c r="G69" s="1936"/>
      <c r="H69" s="1852"/>
      <c r="I69" s="1852"/>
      <c r="J69" s="1852">
        <v>400</v>
      </c>
      <c r="K69" s="1934">
        <f t="shared" si="16"/>
        <v>400</v>
      </c>
      <c r="L69" s="1852">
        <v>0</v>
      </c>
      <c r="M69" s="1852">
        <v>0</v>
      </c>
      <c r="N69" s="1852">
        <v>0</v>
      </c>
      <c r="O69" s="1934">
        <f t="shared" si="17"/>
        <v>400</v>
      </c>
    </row>
    <row r="70" spans="1:15" ht="15">
      <c r="A70" s="1868">
        <v>5481</v>
      </c>
      <c r="B70" s="1868">
        <v>5482</v>
      </c>
      <c r="C70" s="1828" t="s">
        <v>1273</v>
      </c>
      <c r="D70" s="1852">
        <v>38</v>
      </c>
      <c r="E70" s="1852">
        <v>92</v>
      </c>
      <c r="F70" s="1935"/>
      <c r="G70" s="1936"/>
      <c r="H70" s="1852"/>
      <c r="I70" s="1852"/>
      <c r="J70" s="1852">
        <v>0</v>
      </c>
      <c r="K70" s="1934">
        <f t="shared" si="16"/>
        <v>130</v>
      </c>
      <c r="L70" s="1852">
        <v>16</v>
      </c>
      <c r="M70" s="1852">
        <v>11</v>
      </c>
      <c r="N70" s="1852">
        <v>7</v>
      </c>
      <c r="O70" s="1934">
        <f t="shared" si="17"/>
        <v>164</v>
      </c>
    </row>
    <row r="71" spans="1:15" ht="15">
      <c r="A71" s="1868">
        <v>5491</v>
      </c>
      <c r="B71" s="1868">
        <v>5492</v>
      </c>
      <c r="C71" s="1828" t="s">
        <v>2071</v>
      </c>
      <c r="D71" s="1852">
        <v>179</v>
      </c>
      <c r="E71" s="1852">
        <v>431</v>
      </c>
      <c r="F71" s="1935"/>
      <c r="G71" s="1936"/>
      <c r="H71" s="1852"/>
      <c r="I71" s="1852"/>
      <c r="J71" s="1852">
        <v>1431</v>
      </c>
      <c r="K71" s="1934">
        <f t="shared" si="16"/>
        <v>2041</v>
      </c>
      <c r="L71" s="1852">
        <v>74</v>
      </c>
      <c r="M71" s="1852">
        <v>53</v>
      </c>
      <c r="N71" s="1852">
        <v>32</v>
      </c>
      <c r="O71" s="1934">
        <f t="shared" si="17"/>
        <v>2200</v>
      </c>
    </row>
    <row r="72" spans="1:15" ht="15">
      <c r="A72" s="1868"/>
      <c r="B72" s="1868"/>
      <c r="C72" s="1828"/>
      <c r="D72" s="1852"/>
      <c r="E72" s="1852"/>
      <c r="F72" s="1935"/>
      <c r="G72" s="1936"/>
      <c r="H72" s="1852"/>
      <c r="I72" s="1852"/>
      <c r="J72" s="1852"/>
      <c r="K72" s="1934"/>
      <c r="L72" s="1852"/>
      <c r="M72" s="1852"/>
      <c r="N72" s="1852"/>
      <c r="O72" s="1934"/>
    </row>
    <row r="73" spans="1:15" s="1847" customFormat="1" ht="15">
      <c r="A73" s="1837">
        <v>54</v>
      </c>
      <c r="B73" s="1938"/>
      <c r="C73" s="1939" t="s">
        <v>1122</v>
      </c>
      <c r="D73" s="1839">
        <f>SUM(D61:D72)</f>
        <v>6033</v>
      </c>
      <c r="E73" s="1839">
        <f aca="true" t="shared" si="18" ref="E73:N73">SUM(E61:E72)</f>
        <v>17984</v>
      </c>
      <c r="F73" s="1839">
        <f t="shared" si="18"/>
        <v>0</v>
      </c>
      <c r="G73" s="1839">
        <f t="shared" si="18"/>
        <v>0</v>
      </c>
      <c r="H73" s="1839">
        <f t="shared" si="18"/>
        <v>0</v>
      </c>
      <c r="I73" s="1839">
        <f t="shared" si="18"/>
        <v>0</v>
      </c>
      <c r="J73" s="1839">
        <f t="shared" si="18"/>
        <v>3193</v>
      </c>
      <c r="K73" s="1839">
        <f t="shared" si="18"/>
        <v>27210</v>
      </c>
      <c r="L73" s="1839">
        <f t="shared" si="18"/>
        <v>2934</v>
      </c>
      <c r="M73" s="1839">
        <f t="shared" si="18"/>
        <v>1921</v>
      </c>
      <c r="N73" s="1839">
        <f t="shared" si="18"/>
        <v>808</v>
      </c>
      <c r="O73" s="1842">
        <f>SUM(K73:N73)</f>
        <v>32873</v>
      </c>
    </row>
    <row r="74" spans="1:15" ht="15">
      <c r="A74" s="1869"/>
      <c r="B74" s="1940"/>
      <c r="C74" s="1941"/>
      <c r="D74" s="1871"/>
      <c r="E74" s="1871"/>
      <c r="F74" s="1942"/>
      <c r="G74" s="1936"/>
      <c r="H74" s="1852"/>
      <c r="I74" s="1852"/>
      <c r="J74" s="1852"/>
      <c r="K74" s="1934"/>
      <c r="L74" s="1852"/>
      <c r="M74" s="1852"/>
      <c r="N74" s="1852"/>
      <c r="O74" s="1934"/>
    </row>
    <row r="75" spans="1:15" ht="15">
      <c r="A75" s="1868">
        <v>55111</v>
      </c>
      <c r="B75" s="1868">
        <v>55211</v>
      </c>
      <c r="C75" s="1828" t="s">
        <v>1392</v>
      </c>
      <c r="D75" s="1852">
        <v>26</v>
      </c>
      <c r="E75" s="1852">
        <v>62</v>
      </c>
      <c r="F75" s="1935"/>
      <c r="G75" s="1936"/>
      <c r="H75" s="1852"/>
      <c r="I75" s="1852"/>
      <c r="J75" s="1852">
        <v>488</v>
      </c>
      <c r="K75" s="1934">
        <f aca="true" t="shared" si="19" ref="K75:K83">SUM(D75:J75)</f>
        <v>576</v>
      </c>
      <c r="L75" s="1852">
        <v>11</v>
      </c>
      <c r="M75" s="1852">
        <v>8</v>
      </c>
      <c r="N75" s="1852">
        <v>5</v>
      </c>
      <c r="O75" s="1934">
        <f t="shared" si="17"/>
        <v>600</v>
      </c>
    </row>
    <row r="76" spans="1:15" ht="15">
      <c r="A76" s="1868">
        <v>55119</v>
      </c>
      <c r="B76" s="1868">
        <v>55129</v>
      </c>
      <c r="C76" s="1828" t="s">
        <v>1644</v>
      </c>
      <c r="D76" s="1852">
        <v>0</v>
      </c>
      <c r="E76" s="1852">
        <v>0</v>
      </c>
      <c r="F76" s="1935"/>
      <c r="G76" s="1936"/>
      <c r="H76" s="1852"/>
      <c r="I76" s="1852"/>
      <c r="J76" s="1852">
        <v>200</v>
      </c>
      <c r="K76" s="1934">
        <f t="shared" si="19"/>
        <v>200</v>
      </c>
      <c r="L76" s="1852">
        <v>0</v>
      </c>
      <c r="M76" s="1852">
        <v>0</v>
      </c>
      <c r="N76" s="1852">
        <v>0</v>
      </c>
      <c r="O76" s="1934">
        <f t="shared" si="17"/>
        <v>200</v>
      </c>
    </row>
    <row r="77" spans="1:15" ht="15">
      <c r="A77" s="1848">
        <v>55213</v>
      </c>
      <c r="B77" s="1848">
        <v>55223</v>
      </c>
      <c r="C77" s="1943" t="s">
        <v>1902</v>
      </c>
      <c r="D77" s="1849">
        <v>0</v>
      </c>
      <c r="E77" s="1849">
        <v>0</v>
      </c>
      <c r="F77" s="1935"/>
      <c r="G77" s="1936"/>
      <c r="H77" s="1852"/>
      <c r="I77" s="1852"/>
      <c r="J77" s="1852">
        <v>200</v>
      </c>
      <c r="K77" s="1934">
        <f t="shared" si="19"/>
        <v>200</v>
      </c>
      <c r="L77" s="1852">
        <v>0</v>
      </c>
      <c r="M77" s="1852">
        <v>0</v>
      </c>
      <c r="N77" s="1852">
        <v>0</v>
      </c>
      <c r="O77" s="1934">
        <f t="shared" si="17"/>
        <v>200</v>
      </c>
    </row>
    <row r="78" spans="1:15" ht="15">
      <c r="A78" s="1848">
        <v>55214</v>
      </c>
      <c r="B78" s="1848">
        <v>55224</v>
      </c>
      <c r="C78" s="1943" t="s">
        <v>1646</v>
      </c>
      <c r="D78" s="1849">
        <v>145</v>
      </c>
      <c r="E78" s="1849">
        <v>347</v>
      </c>
      <c r="F78" s="1935"/>
      <c r="G78" s="1936"/>
      <c r="H78" s="1852"/>
      <c r="I78" s="1852"/>
      <c r="J78" s="1852">
        <v>159</v>
      </c>
      <c r="K78" s="1934">
        <f t="shared" si="19"/>
        <v>651</v>
      </c>
      <c r="L78" s="1852">
        <v>60</v>
      </c>
      <c r="M78" s="1852">
        <v>43</v>
      </c>
      <c r="N78" s="1852">
        <v>26</v>
      </c>
      <c r="O78" s="1934">
        <f t="shared" si="17"/>
        <v>780</v>
      </c>
    </row>
    <row r="79" spans="1:17" ht="15">
      <c r="A79" s="1848">
        <v>55215</v>
      </c>
      <c r="B79" s="1848">
        <v>55225</v>
      </c>
      <c r="C79" s="1943" t="s">
        <v>1647</v>
      </c>
      <c r="D79" s="1849">
        <v>94</v>
      </c>
      <c r="E79" s="1849">
        <v>224</v>
      </c>
      <c r="F79" s="1935"/>
      <c r="G79" s="1936"/>
      <c r="H79" s="1852"/>
      <c r="I79" s="1852"/>
      <c r="J79" s="1852">
        <v>3498</v>
      </c>
      <c r="K79" s="1934">
        <f t="shared" si="19"/>
        <v>3816</v>
      </c>
      <c r="L79" s="1852">
        <v>39</v>
      </c>
      <c r="M79" s="1852">
        <v>28</v>
      </c>
      <c r="N79" s="1852">
        <v>17</v>
      </c>
      <c r="O79" s="1934">
        <f t="shared" si="17"/>
        <v>3900</v>
      </c>
      <c r="Q79" s="1787">
        <f>SUM(O78:O81)</f>
        <v>11940</v>
      </c>
    </row>
    <row r="80" spans="1:15" ht="15">
      <c r="A80" s="1848">
        <v>55216</v>
      </c>
      <c r="B80" s="1848">
        <v>55226</v>
      </c>
      <c r="C80" s="1943" t="s">
        <v>1648</v>
      </c>
      <c r="D80" s="1849">
        <v>0</v>
      </c>
      <c r="E80" s="1849">
        <v>0</v>
      </c>
      <c r="F80" s="1935"/>
      <c r="G80" s="1936"/>
      <c r="H80" s="1852"/>
      <c r="I80" s="1852"/>
      <c r="J80" s="1852">
        <v>5800</v>
      </c>
      <c r="K80" s="1934">
        <f t="shared" si="19"/>
        <v>5800</v>
      </c>
      <c r="L80" s="1852">
        <v>0</v>
      </c>
      <c r="M80" s="1852">
        <v>0</v>
      </c>
      <c r="N80" s="1852">
        <v>0</v>
      </c>
      <c r="O80" s="1934">
        <f t="shared" si="17"/>
        <v>5800</v>
      </c>
    </row>
    <row r="81" spans="1:15" ht="15">
      <c r="A81" s="1848">
        <v>55217</v>
      </c>
      <c r="B81" s="1848">
        <v>55227</v>
      </c>
      <c r="C81" s="1943" t="s">
        <v>1649</v>
      </c>
      <c r="D81" s="1849">
        <v>68</v>
      </c>
      <c r="E81" s="1849">
        <v>164</v>
      </c>
      <c r="F81" s="1935"/>
      <c r="G81" s="1936"/>
      <c r="H81" s="1852"/>
      <c r="I81" s="1852"/>
      <c r="J81" s="1852">
        <v>1168</v>
      </c>
      <c r="K81" s="1934">
        <f t="shared" si="19"/>
        <v>1400</v>
      </c>
      <c r="L81" s="1852">
        <v>28</v>
      </c>
      <c r="M81" s="1852">
        <v>20</v>
      </c>
      <c r="N81" s="1852">
        <v>12</v>
      </c>
      <c r="O81" s="1934">
        <f t="shared" si="17"/>
        <v>1460</v>
      </c>
    </row>
    <row r="82" spans="1:15" ht="15">
      <c r="A82" s="1848">
        <v>55218</v>
      </c>
      <c r="B82" s="1848">
        <v>55228</v>
      </c>
      <c r="C82" s="1943" t="s">
        <v>1650</v>
      </c>
      <c r="D82" s="1849">
        <v>34</v>
      </c>
      <c r="E82" s="1849">
        <v>82</v>
      </c>
      <c r="F82" s="1935"/>
      <c r="G82" s="1936"/>
      <c r="H82" s="1852"/>
      <c r="I82" s="1852"/>
      <c r="J82" s="1852">
        <v>454</v>
      </c>
      <c r="K82" s="1934">
        <f t="shared" si="19"/>
        <v>570</v>
      </c>
      <c r="L82" s="1852">
        <v>14</v>
      </c>
      <c r="M82" s="1852">
        <v>10</v>
      </c>
      <c r="N82" s="1852">
        <v>6</v>
      </c>
      <c r="O82" s="1934">
        <f t="shared" si="17"/>
        <v>600</v>
      </c>
    </row>
    <row r="83" spans="1:15" ht="15">
      <c r="A83" s="1848">
        <v>55219</v>
      </c>
      <c r="B83" s="1848">
        <v>55229</v>
      </c>
      <c r="C83" s="1943" t="s">
        <v>1651</v>
      </c>
      <c r="D83" s="1849">
        <v>54</v>
      </c>
      <c r="E83" s="1849">
        <v>131</v>
      </c>
      <c r="F83" s="1935"/>
      <c r="G83" s="1936"/>
      <c r="H83" s="1852"/>
      <c r="I83" s="1852"/>
      <c r="J83" s="1852">
        <v>1267</v>
      </c>
      <c r="K83" s="1934">
        <f t="shared" si="19"/>
        <v>1452</v>
      </c>
      <c r="L83" s="1852">
        <v>22</v>
      </c>
      <c r="M83" s="1852">
        <v>16</v>
      </c>
      <c r="N83" s="1852">
        <v>10</v>
      </c>
      <c r="O83" s="1934">
        <f t="shared" si="17"/>
        <v>1500</v>
      </c>
    </row>
    <row r="84" spans="1:15" ht="15">
      <c r="A84" s="1848"/>
      <c r="B84" s="1848"/>
      <c r="C84" s="1943"/>
      <c r="D84" s="1849"/>
      <c r="E84" s="1849"/>
      <c r="F84" s="1935"/>
      <c r="G84" s="1936"/>
      <c r="H84" s="1852"/>
      <c r="I84" s="1852"/>
      <c r="J84" s="1852"/>
      <c r="K84" s="1934"/>
      <c r="L84" s="1852"/>
      <c r="M84" s="1852"/>
      <c r="N84" s="1852"/>
      <c r="O84" s="1934"/>
    </row>
    <row r="85" spans="1:15" s="1847" customFormat="1" ht="15">
      <c r="A85" s="1837">
        <v>55</v>
      </c>
      <c r="B85" s="1938"/>
      <c r="C85" s="1939" t="s">
        <v>1124</v>
      </c>
      <c r="D85" s="1839">
        <f>SUM(D74:D84)</f>
        <v>421</v>
      </c>
      <c r="E85" s="1839">
        <f aca="true" t="shared" si="20" ref="E85:N85">SUM(E74:E84)</f>
        <v>1010</v>
      </c>
      <c r="F85" s="1839">
        <f t="shared" si="20"/>
        <v>0</v>
      </c>
      <c r="G85" s="1839">
        <f t="shared" si="20"/>
        <v>0</v>
      </c>
      <c r="H85" s="1839">
        <f t="shared" si="20"/>
        <v>0</v>
      </c>
      <c r="I85" s="1839">
        <f t="shared" si="20"/>
        <v>0</v>
      </c>
      <c r="J85" s="1839">
        <f t="shared" si="20"/>
        <v>13234</v>
      </c>
      <c r="K85" s="1839">
        <f t="shared" si="20"/>
        <v>14665</v>
      </c>
      <c r="L85" s="1839">
        <f t="shared" si="20"/>
        <v>174</v>
      </c>
      <c r="M85" s="1839">
        <f t="shared" si="20"/>
        <v>125</v>
      </c>
      <c r="N85" s="1839">
        <f t="shared" si="20"/>
        <v>76</v>
      </c>
      <c r="O85" s="1842">
        <f>SUM(K85:N85)</f>
        <v>15040</v>
      </c>
    </row>
    <row r="86" spans="1:15" ht="15">
      <c r="A86" s="1855"/>
      <c r="B86" s="1944"/>
      <c r="C86" s="1945"/>
      <c r="D86" s="1859"/>
      <c r="E86" s="1859"/>
      <c r="F86" s="1942"/>
      <c r="G86" s="1946"/>
      <c r="H86" s="1852"/>
      <c r="I86" s="1852"/>
      <c r="J86" s="1852"/>
      <c r="K86" s="1934"/>
      <c r="L86" s="1852"/>
      <c r="M86" s="1852"/>
      <c r="N86" s="1852"/>
      <c r="O86" s="1934"/>
    </row>
    <row r="87" spans="1:15" ht="15">
      <c r="A87" s="1855">
        <v>5531</v>
      </c>
      <c r="B87" s="1855">
        <v>5532</v>
      </c>
      <c r="C87" s="1947" t="s">
        <v>1653</v>
      </c>
      <c r="D87" s="1859">
        <v>0</v>
      </c>
      <c r="E87" s="1859">
        <v>0</v>
      </c>
      <c r="F87" s="1942"/>
      <c r="G87" s="1936"/>
      <c r="H87" s="1852"/>
      <c r="I87" s="1852"/>
      <c r="J87" s="1852"/>
      <c r="K87" s="1934">
        <f aca="true" t="shared" si="21" ref="K87:K94">SUM(D87:J87)</f>
        <v>0</v>
      </c>
      <c r="L87" s="1852">
        <v>0</v>
      </c>
      <c r="M87" s="1852">
        <v>0</v>
      </c>
      <c r="N87" s="1871">
        <v>0</v>
      </c>
      <c r="O87" s="1934">
        <f t="shared" si="17"/>
        <v>0</v>
      </c>
    </row>
    <row r="88" spans="1:15" ht="15">
      <c r="A88" s="1855"/>
      <c r="B88" s="1944"/>
      <c r="C88" s="1945"/>
      <c r="D88" s="1859">
        <v>0</v>
      </c>
      <c r="E88" s="1859">
        <v>0</v>
      </c>
      <c r="F88" s="1942"/>
      <c r="G88" s="1936"/>
      <c r="H88" s="1852"/>
      <c r="I88" s="1852"/>
      <c r="J88" s="1852"/>
      <c r="K88" s="1934">
        <f t="shared" si="21"/>
        <v>0</v>
      </c>
      <c r="L88" s="1852">
        <v>0</v>
      </c>
      <c r="M88" s="1852">
        <v>0</v>
      </c>
      <c r="N88" s="1852">
        <v>0</v>
      </c>
      <c r="O88" s="1934">
        <f t="shared" si="17"/>
        <v>0</v>
      </c>
    </row>
    <row r="89" spans="1:16" ht="15">
      <c r="A89" s="1948">
        <v>56111</v>
      </c>
      <c r="B89" s="1948">
        <v>56121</v>
      </c>
      <c r="C89" s="1949" t="s">
        <v>1654</v>
      </c>
      <c r="D89" s="1849">
        <v>1952</v>
      </c>
      <c r="E89" s="1849">
        <v>4707</v>
      </c>
      <c r="F89" s="1935"/>
      <c r="G89" s="1936"/>
      <c r="H89" s="1852"/>
      <c r="I89" s="1852"/>
      <c r="J89" s="1852">
        <f>(J73+J85)*27/100</f>
        <v>4435.29</v>
      </c>
      <c r="K89" s="1934">
        <f t="shared" si="21"/>
        <v>11094.29</v>
      </c>
      <c r="L89" s="1852">
        <v>804</v>
      </c>
      <c r="M89" s="1852">
        <v>574</v>
      </c>
      <c r="N89" s="1852">
        <v>344</v>
      </c>
      <c r="O89" s="1934">
        <f t="shared" si="17"/>
        <v>12816.29</v>
      </c>
      <c r="P89" s="1787">
        <f>J73+J85</f>
        <v>16427</v>
      </c>
    </row>
    <row r="90" spans="1:16" ht="15">
      <c r="A90" s="1948">
        <v>56112</v>
      </c>
      <c r="B90" s="1948">
        <v>56122</v>
      </c>
      <c r="C90" s="1949" t="s">
        <v>1655</v>
      </c>
      <c r="D90" s="1849">
        <v>0</v>
      </c>
      <c r="E90" s="1849">
        <v>0</v>
      </c>
      <c r="F90" s="1935"/>
      <c r="G90" s="1936"/>
      <c r="H90" s="1852"/>
      <c r="I90" s="1852"/>
      <c r="J90" s="1852"/>
      <c r="K90" s="1934">
        <f t="shared" si="21"/>
        <v>0</v>
      </c>
      <c r="L90" s="1852">
        <v>0</v>
      </c>
      <c r="M90" s="1852">
        <v>0</v>
      </c>
      <c r="N90" s="1852">
        <v>0</v>
      </c>
      <c r="O90" s="1934">
        <f t="shared" si="17"/>
        <v>0</v>
      </c>
      <c r="P90" s="1786">
        <f>P89*27/100</f>
        <v>4435.29</v>
      </c>
    </row>
    <row r="91" spans="1:15" ht="15">
      <c r="A91" s="1868">
        <v>56211</v>
      </c>
      <c r="B91" s="1868">
        <v>56221</v>
      </c>
      <c r="C91" s="1943" t="s">
        <v>1400</v>
      </c>
      <c r="D91" s="1950">
        <v>0</v>
      </c>
      <c r="E91" s="1950">
        <v>0</v>
      </c>
      <c r="F91" s="1935"/>
      <c r="G91" s="1936"/>
      <c r="H91" s="1852"/>
      <c r="I91" s="1852"/>
      <c r="J91" s="1852">
        <v>450</v>
      </c>
      <c r="K91" s="1934">
        <f t="shared" si="21"/>
        <v>450</v>
      </c>
      <c r="L91" s="1852">
        <v>0</v>
      </c>
      <c r="M91" s="1852">
        <v>0</v>
      </c>
      <c r="N91" s="1852">
        <v>0</v>
      </c>
      <c r="O91" s="1934">
        <f t="shared" si="17"/>
        <v>450</v>
      </c>
    </row>
    <row r="92" spans="1:15" ht="15">
      <c r="A92" s="1868">
        <v>56213</v>
      </c>
      <c r="B92" s="1868">
        <v>56223</v>
      </c>
      <c r="C92" s="1943" t="s">
        <v>1401</v>
      </c>
      <c r="D92" s="1950">
        <v>0</v>
      </c>
      <c r="E92" s="1950">
        <v>0</v>
      </c>
      <c r="F92" s="1935"/>
      <c r="G92" s="1936"/>
      <c r="H92" s="1852"/>
      <c r="I92" s="1852"/>
      <c r="J92" s="1852">
        <v>42</v>
      </c>
      <c r="K92" s="1934">
        <f t="shared" si="21"/>
        <v>42</v>
      </c>
      <c r="L92" s="1852">
        <v>0</v>
      </c>
      <c r="M92" s="1852">
        <v>0</v>
      </c>
      <c r="N92" s="1852">
        <v>0</v>
      </c>
      <c r="O92" s="1934">
        <f t="shared" si="17"/>
        <v>42</v>
      </c>
    </row>
    <row r="93" spans="1:15" ht="15">
      <c r="A93" s="1868">
        <v>56317</v>
      </c>
      <c r="B93" s="1868">
        <v>56327</v>
      </c>
      <c r="C93" s="1943" t="s">
        <v>1656</v>
      </c>
      <c r="D93" s="1849">
        <v>0</v>
      </c>
      <c r="E93" s="1849">
        <v>0</v>
      </c>
      <c r="F93" s="1935"/>
      <c r="G93" s="1936"/>
      <c r="H93" s="1852"/>
      <c r="I93" s="1852"/>
      <c r="J93" s="1852"/>
      <c r="K93" s="1934">
        <f t="shared" si="21"/>
        <v>0</v>
      </c>
      <c r="L93" s="1852">
        <v>0</v>
      </c>
      <c r="M93" s="1852">
        <v>0</v>
      </c>
      <c r="N93" s="1852">
        <v>0</v>
      </c>
      <c r="O93" s="1934">
        <f t="shared" si="17"/>
        <v>0</v>
      </c>
    </row>
    <row r="94" spans="1:15" ht="15">
      <c r="A94" s="1868">
        <v>5641</v>
      </c>
      <c r="B94" s="1868">
        <v>5642</v>
      </c>
      <c r="C94" s="1951" t="s">
        <v>2072</v>
      </c>
      <c r="D94" s="1849">
        <v>0</v>
      </c>
      <c r="E94" s="1849">
        <v>0</v>
      </c>
      <c r="F94" s="1935"/>
      <c r="G94" s="1936"/>
      <c r="H94" s="1852"/>
      <c r="I94" s="1852"/>
      <c r="J94" s="1852">
        <v>180</v>
      </c>
      <c r="K94" s="1934">
        <f t="shared" si="21"/>
        <v>180</v>
      </c>
      <c r="L94" s="1852">
        <v>0</v>
      </c>
      <c r="M94" s="1852">
        <v>0</v>
      </c>
      <c r="N94" s="1852">
        <v>0</v>
      </c>
      <c r="O94" s="1934">
        <f t="shared" si="17"/>
        <v>180</v>
      </c>
    </row>
    <row r="95" spans="1:15" ht="15">
      <c r="A95" s="1868"/>
      <c r="B95" s="1868"/>
      <c r="C95" s="1943"/>
      <c r="D95" s="1849"/>
      <c r="E95" s="1849"/>
      <c r="F95" s="1935"/>
      <c r="G95" s="1936"/>
      <c r="H95" s="1852"/>
      <c r="I95" s="1852"/>
      <c r="J95" s="1852"/>
      <c r="K95" s="1934"/>
      <c r="L95" s="1852"/>
      <c r="M95" s="1852"/>
      <c r="N95" s="1852"/>
      <c r="O95" s="1934"/>
    </row>
    <row r="96" spans="1:15" s="1847" customFormat="1" ht="15">
      <c r="A96" s="1837">
        <v>56</v>
      </c>
      <c r="B96" s="1856"/>
      <c r="C96" s="1939" t="s">
        <v>1659</v>
      </c>
      <c r="D96" s="1839">
        <f>SUM(D86:D95)</f>
        <v>1952</v>
      </c>
      <c r="E96" s="1839">
        <f aca="true" t="shared" si="22" ref="E96:N96">SUM(E86:E95)</f>
        <v>4707</v>
      </c>
      <c r="F96" s="1839">
        <f t="shared" si="22"/>
        <v>0</v>
      </c>
      <c r="G96" s="1839">
        <f t="shared" si="22"/>
        <v>0</v>
      </c>
      <c r="H96" s="1839">
        <f t="shared" si="22"/>
        <v>0</v>
      </c>
      <c r="I96" s="1839">
        <f t="shared" si="22"/>
        <v>0</v>
      </c>
      <c r="J96" s="1839">
        <f t="shared" si="22"/>
        <v>5107.29</v>
      </c>
      <c r="K96" s="1839">
        <f t="shared" si="22"/>
        <v>11766.29</v>
      </c>
      <c r="L96" s="1839">
        <f t="shared" si="22"/>
        <v>804</v>
      </c>
      <c r="M96" s="1839">
        <f t="shared" si="22"/>
        <v>574</v>
      </c>
      <c r="N96" s="1839">
        <f t="shared" si="22"/>
        <v>344</v>
      </c>
      <c r="O96" s="1842">
        <f t="shared" si="17"/>
        <v>13488.29</v>
      </c>
    </row>
    <row r="97" spans="1:15" ht="15">
      <c r="A97" s="1869"/>
      <c r="B97" s="1868"/>
      <c r="C97" s="1945"/>
      <c r="D97" s="1859"/>
      <c r="E97" s="1859"/>
      <c r="F97" s="1942"/>
      <c r="G97" s="1936"/>
      <c r="H97" s="1852"/>
      <c r="I97" s="1852"/>
      <c r="J97" s="1852"/>
      <c r="K97" s="1934"/>
      <c r="L97" s="1852"/>
      <c r="M97" s="1852"/>
      <c r="N97" s="1852"/>
      <c r="O97" s="1934"/>
    </row>
    <row r="98" spans="1:15" ht="15">
      <c r="A98" s="1889">
        <v>57119</v>
      </c>
      <c r="B98" s="1889">
        <v>57129</v>
      </c>
      <c r="C98" s="1943" t="s">
        <v>2073</v>
      </c>
      <c r="D98" s="1890">
        <v>0</v>
      </c>
      <c r="E98" s="1890">
        <v>0</v>
      </c>
      <c r="F98" s="1890"/>
      <c r="G98" s="1936"/>
      <c r="H98" s="1852"/>
      <c r="I98" s="1852"/>
      <c r="J98" s="1852"/>
      <c r="K98" s="1934">
        <f>SUM(D98:J98)</f>
        <v>0</v>
      </c>
      <c r="L98" s="1852">
        <v>0</v>
      </c>
      <c r="M98" s="1852">
        <v>0</v>
      </c>
      <c r="N98" s="1890">
        <v>0</v>
      </c>
      <c r="O98" s="1934">
        <f t="shared" si="17"/>
        <v>0</v>
      </c>
    </row>
    <row r="99" spans="1:15" ht="15">
      <c r="A99" s="1868">
        <v>57211</v>
      </c>
      <c r="B99" s="1868">
        <v>57221</v>
      </c>
      <c r="C99" s="1943" t="s">
        <v>1661</v>
      </c>
      <c r="D99" s="1849">
        <v>0</v>
      </c>
      <c r="E99" s="1849">
        <v>0</v>
      </c>
      <c r="F99" s="1890"/>
      <c r="G99" s="1936"/>
      <c r="H99" s="1852"/>
      <c r="I99" s="1852"/>
      <c r="J99" s="1852"/>
      <c r="K99" s="1934">
        <f>SUM(D99:J99)</f>
        <v>0</v>
      </c>
      <c r="L99" s="1852">
        <v>0</v>
      </c>
      <c r="M99" s="1852">
        <v>0</v>
      </c>
      <c r="N99" s="1852">
        <v>0</v>
      </c>
      <c r="O99" s="1934">
        <f t="shared" si="17"/>
        <v>0</v>
      </c>
    </row>
    <row r="100" spans="1:15" ht="15">
      <c r="A100" s="1952">
        <v>57213</v>
      </c>
      <c r="B100" s="1952">
        <v>57223</v>
      </c>
      <c r="C100" s="1953" t="s">
        <v>2074</v>
      </c>
      <c r="D100" s="1954">
        <v>0</v>
      </c>
      <c r="E100" s="1954">
        <v>0</v>
      </c>
      <c r="F100" s="1890"/>
      <c r="G100" s="1936"/>
      <c r="H100" s="1852"/>
      <c r="I100" s="1852"/>
      <c r="J100" s="1852">
        <v>2363</v>
      </c>
      <c r="K100" s="1934">
        <f>SUM(D100:J100)</f>
        <v>2363</v>
      </c>
      <c r="L100" s="1852">
        <v>0</v>
      </c>
      <c r="M100" s="1852">
        <v>0</v>
      </c>
      <c r="N100" s="1852">
        <v>0</v>
      </c>
      <c r="O100" s="1934">
        <f t="shared" si="17"/>
        <v>2363</v>
      </c>
    </row>
    <row r="101" spans="1:15" ht="15">
      <c r="A101" s="1952"/>
      <c r="B101" s="1952"/>
      <c r="C101" s="1943"/>
      <c r="D101" s="1954"/>
      <c r="E101" s="1954"/>
      <c r="F101" s="1890"/>
      <c r="G101" s="1936"/>
      <c r="H101" s="1852"/>
      <c r="I101" s="1852"/>
      <c r="J101" s="1852"/>
      <c r="K101" s="1934"/>
      <c r="L101" s="1852"/>
      <c r="M101" s="1852"/>
      <c r="N101" s="1852"/>
      <c r="O101" s="1934"/>
    </row>
    <row r="102" spans="1:15" s="1847" customFormat="1" ht="15">
      <c r="A102" s="1837">
        <v>57</v>
      </c>
      <c r="B102" s="1939"/>
      <c r="C102" s="1939" t="s">
        <v>1663</v>
      </c>
      <c r="D102" s="1839">
        <f>SUM(D97:D101)</f>
        <v>0</v>
      </c>
      <c r="E102" s="1839">
        <f aca="true" t="shared" si="23" ref="E102:O102">SUM(E97:E101)</f>
        <v>0</v>
      </c>
      <c r="F102" s="1839">
        <f t="shared" si="23"/>
        <v>0</v>
      </c>
      <c r="G102" s="1839">
        <f t="shared" si="23"/>
        <v>0</v>
      </c>
      <c r="H102" s="1839">
        <f t="shared" si="23"/>
        <v>0</v>
      </c>
      <c r="I102" s="1839">
        <f t="shared" si="23"/>
        <v>0</v>
      </c>
      <c r="J102" s="1839">
        <f t="shared" si="23"/>
        <v>2363</v>
      </c>
      <c r="K102" s="1839">
        <f t="shared" si="23"/>
        <v>2363</v>
      </c>
      <c r="L102" s="1839">
        <f t="shared" si="23"/>
        <v>0</v>
      </c>
      <c r="M102" s="1839">
        <f t="shared" si="23"/>
        <v>0</v>
      </c>
      <c r="N102" s="1839">
        <f t="shared" si="23"/>
        <v>0</v>
      </c>
      <c r="O102" s="1839">
        <f t="shared" si="23"/>
        <v>2363</v>
      </c>
    </row>
    <row r="103" spans="1:15" ht="15">
      <c r="A103" s="1869"/>
      <c r="B103" s="1941"/>
      <c r="C103" s="1941"/>
      <c r="D103" s="1871"/>
      <c r="E103" s="1871"/>
      <c r="F103" s="1955"/>
      <c r="G103" s="1936"/>
      <c r="H103" s="1852"/>
      <c r="I103" s="1852"/>
      <c r="J103" s="1852"/>
      <c r="K103" s="1849"/>
      <c r="L103" s="1849"/>
      <c r="M103" s="1849"/>
      <c r="N103" s="1849"/>
      <c r="O103" s="1849"/>
    </row>
    <row r="104" spans="1:17" s="1905" customFormat="1" ht="30.75" customHeight="1">
      <c r="A104" s="1956"/>
      <c r="B104" s="1957"/>
      <c r="C104" s="1957" t="s">
        <v>1664</v>
      </c>
      <c r="D104" s="1903">
        <f>SUM(D102+D96+D85+D73)</f>
        <v>8406</v>
      </c>
      <c r="E104" s="1903">
        <f aca="true" t="shared" si="24" ref="E104:O104">SUM(E102+E96+E85+E73)</f>
        <v>23701</v>
      </c>
      <c r="F104" s="1903">
        <f t="shared" si="24"/>
        <v>0</v>
      </c>
      <c r="G104" s="1903">
        <f t="shared" si="24"/>
        <v>0</v>
      </c>
      <c r="H104" s="1903">
        <f t="shared" si="24"/>
        <v>0</v>
      </c>
      <c r="I104" s="1903">
        <f t="shared" si="24"/>
        <v>0</v>
      </c>
      <c r="J104" s="1903">
        <f t="shared" si="24"/>
        <v>23897.29</v>
      </c>
      <c r="K104" s="1903">
        <f>SUM(K102+K96+K85+K73)</f>
        <v>56004.29</v>
      </c>
      <c r="L104" s="1903">
        <f t="shared" si="24"/>
        <v>3912</v>
      </c>
      <c r="M104" s="1903">
        <f t="shared" si="24"/>
        <v>2620</v>
      </c>
      <c r="N104" s="1903">
        <f t="shared" si="24"/>
        <v>1228</v>
      </c>
      <c r="O104" s="1903">
        <f t="shared" si="24"/>
        <v>63764.29</v>
      </c>
      <c r="Q104" s="1958"/>
    </row>
    <row r="105" spans="1:15" ht="15">
      <c r="A105" s="1869"/>
      <c r="B105" s="1941"/>
      <c r="C105" s="1941"/>
      <c r="D105" s="1871"/>
      <c r="E105" s="1871"/>
      <c r="F105" s="1955"/>
      <c r="G105" s="1936"/>
      <c r="H105" s="1852"/>
      <c r="I105" s="1852"/>
      <c r="J105" s="1852"/>
      <c r="K105" s="1849"/>
      <c r="L105" s="1849"/>
      <c r="M105" s="1849"/>
      <c r="N105" s="1849"/>
      <c r="O105" s="1849"/>
    </row>
    <row r="106" spans="1:15" s="1905" customFormat="1" ht="33" customHeight="1">
      <c r="A106" s="1956">
        <v>58</v>
      </c>
      <c r="B106" s="1957"/>
      <c r="C106" s="1957" t="s">
        <v>1665</v>
      </c>
      <c r="D106" s="1903">
        <v>0</v>
      </c>
      <c r="E106" s="1903">
        <v>0</v>
      </c>
      <c r="F106" s="1959">
        <v>1080</v>
      </c>
      <c r="G106" s="1931">
        <v>1320</v>
      </c>
      <c r="H106" s="1933"/>
      <c r="I106" s="1933"/>
      <c r="J106" s="1933"/>
      <c r="K106" s="1933">
        <f>SUM(D106:J106)</f>
        <v>2400</v>
      </c>
      <c r="L106" s="1933">
        <v>0</v>
      </c>
      <c r="M106" s="1933">
        <v>0</v>
      </c>
      <c r="N106" s="1933">
        <v>0</v>
      </c>
      <c r="O106" s="1933">
        <f t="shared" si="17"/>
        <v>2400</v>
      </c>
    </row>
    <row r="107" spans="1:15" ht="15">
      <c r="A107" s="1869"/>
      <c r="B107" s="1941"/>
      <c r="C107" s="1941"/>
      <c r="D107" s="1871"/>
      <c r="E107" s="1871"/>
      <c r="F107" s="1955"/>
      <c r="G107" s="1936"/>
      <c r="H107" s="1852"/>
      <c r="I107" s="1852"/>
      <c r="J107" s="1852"/>
      <c r="K107" s="1849"/>
      <c r="L107" s="1849"/>
      <c r="M107" s="1849"/>
      <c r="N107" s="1849"/>
      <c r="O107" s="1849"/>
    </row>
    <row r="108" spans="1:15" ht="15">
      <c r="A108" s="1855"/>
      <c r="B108" s="1945"/>
      <c r="C108" s="1945"/>
      <c r="D108" s="1859"/>
      <c r="E108" s="1859"/>
      <c r="F108" s="1960"/>
      <c r="G108" s="1936"/>
      <c r="H108" s="1849"/>
      <c r="I108" s="1849"/>
      <c r="J108" s="1849"/>
      <c r="K108" s="1849"/>
      <c r="L108" s="1849"/>
      <c r="M108" s="1849"/>
      <c r="N108" s="1849"/>
      <c r="O108" s="1849"/>
    </row>
    <row r="109" spans="1:17" s="1964" customFormat="1" ht="48" customHeight="1">
      <c r="A109" s="1961"/>
      <c r="B109" s="1962"/>
      <c r="C109" s="1962" t="s">
        <v>2075</v>
      </c>
      <c r="D109" s="1963">
        <f aca="true" t="shared" si="25" ref="D109:O109">SUM(D106+D104+D50)</f>
        <v>12534.99</v>
      </c>
      <c r="E109" s="1963">
        <f t="shared" si="25"/>
        <v>33656.08</v>
      </c>
      <c r="F109" s="1963">
        <f t="shared" si="25"/>
        <v>21319.760000000002</v>
      </c>
      <c r="G109" s="1963">
        <f t="shared" si="25"/>
        <v>57391.24</v>
      </c>
      <c r="H109" s="1963">
        <f t="shared" si="25"/>
        <v>12686.28</v>
      </c>
      <c r="I109" s="1963">
        <f t="shared" si="25"/>
        <v>0</v>
      </c>
      <c r="J109" s="1963">
        <f t="shared" si="25"/>
        <v>30689.13</v>
      </c>
      <c r="K109" s="1963">
        <f t="shared" si="25"/>
        <v>168277.48</v>
      </c>
      <c r="L109" s="1963">
        <f t="shared" si="25"/>
        <v>5612</v>
      </c>
      <c r="M109" s="1963">
        <f t="shared" si="25"/>
        <v>3834</v>
      </c>
      <c r="N109" s="1963">
        <f t="shared" si="25"/>
        <v>1956</v>
      </c>
      <c r="O109" s="1963">
        <f t="shared" si="25"/>
        <v>179679.48</v>
      </c>
      <c r="Q109" s="1965"/>
    </row>
    <row r="110" spans="1:15" ht="15.75">
      <c r="A110" s="1966"/>
      <c r="B110" s="1967"/>
      <c r="C110" s="1968"/>
      <c r="D110" s="1969"/>
      <c r="E110" s="1970"/>
      <c r="F110" s="1971"/>
      <c r="G110" s="1972"/>
      <c r="H110" s="1973"/>
      <c r="I110" s="1973"/>
      <c r="J110" s="1973"/>
      <c r="K110" s="1974"/>
      <c r="L110" s="1973"/>
      <c r="M110" s="1975"/>
      <c r="N110" s="1975"/>
      <c r="O110" s="1976"/>
    </row>
    <row r="111" spans="4:15" ht="15">
      <c r="D111" s="1786"/>
      <c r="E111" s="1786"/>
      <c r="F111" s="1786"/>
      <c r="G111" s="1789"/>
      <c r="H111" s="1789"/>
      <c r="I111" s="1789"/>
      <c r="J111" s="1789"/>
      <c r="K111" s="1977"/>
      <c r="L111" s="1789"/>
      <c r="N111" s="1787"/>
      <c r="O111" s="1978"/>
    </row>
    <row r="112" spans="4:12" ht="15">
      <c r="D112" s="1786"/>
      <c r="E112" s="1786"/>
      <c r="F112" s="1786"/>
      <c r="G112" s="1789"/>
      <c r="H112" s="1789"/>
      <c r="I112" s="1789"/>
      <c r="J112" s="1789"/>
      <c r="K112" s="1977"/>
      <c r="L112" s="1789"/>
    </row>
    <row r="113" spans="4:12" ht="15">
      <c r="D113" s="1786"/>
      <c r="E113" s="1786"/>
      <c r="F113" s="1786"/>
      <c r="G113" s="1789"/>
      <c r="H113" s="1789"/>
      <c r="I113" s="1789"/>
      <c r="J113" s="1789"/>
      <c r="K113" s="1977"/>
      <c r="L113" s="1789"/>
    </row>
    <row r="114" spans="4:12" ht="15">
      <c r="D114" s="1786"/>
      <c r="E114" s="1786"/>
      <c r="F114" s="1786"/>
      <c r="G114" s="1789"/>
      <c r="H114" s="1789"/>
      <c r="I114" s="1789"/>
      <c r="J114" s="1789"/>
      <c r="K114" s="1977"/>
      <c r="L114" s="1789"/>
    </row>
    <row r="115" spans="4:15" ht="15">
      <c r="D115" s="1786"/>
      <c r="E115" s="1786"/>
      <c r="F115" s="1786"/>
      <c r="G115" s="1789"/>
      <c r="H115" s="1789"/>
      <c r="I115" s="1789"/>
      <c r="J115" s="1789"/>
      <c r="K115" s="1977"/>
      <c r="L115" s="1789"/>
      <c r="O115" s="1978"/>
    </row>
    <row r="116" spans="4:12" ht="15">
      <c r="D116" s="1786"/>
      <c r="E116" s="1786"/>
      <c r="F116" s="1786"/>
      <c r="G116" s="1786"/>
      <c r="H116" s="1786"/>
      <c r="I116" s="1786"/>
      <c r="J116" s="1786"/>
      <c r="K116" s="1977"/>
      <c r="L116" s="1786"/>
    </row>
    <row r="117" spans="4:12" ht="15">
      <c r="D117" s="1786"/>
      <c r="E117" s="1786"/>
      <c r="F117" s="1786"/>
      <c r="G117" s="1786"/>
      <c r="H117" s="1786"/>
      <c r="I117" s="1786"/>
      <c r="J117" s="1786"/>
      <c r="K117" s="1977"/>
      <c r="L117" s="1786"/>
    </row>
    <row r="118" spans="4:12" ht="15">
      <c r="D118" s="1786"/>
      <c r="E118" s="1786"/>
      <c r="F118" s="1786"/>
      <c r="G118" s="1786"/>
      <c r="H118" s="1786"/>
      <c r="I118" s="1786"/>
      <c r="J118" s="1786"/>
      <c r="K118" s="1977"/>
      <c r="L118" s="1786"/>
    </row>
    <row r="119" spans="4:12" ht="15">
      <c r="D119" s="1786"/>
      <c r="E119" s="1786"/>
      <c r="F119" s="1786"/>
      <c r="G119" s="1786"/>
      <c r="H119" s="1786"/>
      <c r="I119" s="1786"/>
      <c r="J119" s="1786"/>
      <c r="K119" s="1977"/>
      <c r="L119" s="1786"/>
    </row>
    <row r="120" spans="4:12" ht="15">
      <c r="D120" s="1786"/>
      <c r="E120" s="1786"/>
      <c r="F120" s="1786"/>
      <c r="G120" s="1786"/>
      <c r="H120" s="1786"/>
      <c r="I120" s="1786"/>
      <c r="J120" s="1786"/>
      <c r="K120" s="1977"/>
      <c r="L120" s="1786"/>
    </row>
    <row r="121" spans="4:12" ht="15">
      <c r="D121" s="1786"/>
      <c r="E121" s="1786"/>
      <c r="F121" s="1786"/>
      <c r="G121" s="1786"/>
      <c r="H121" s="1786"/>
      <c r="I121" s="1786"/>
      <c r="J121" s="1786"/>
      <c r="K121" s="1977"/>
      <c r="L121" s="1786"/>
    </row>
    <row r="122" spans="4:12" ht="15">
      <c r="D122" s="1786"/>
      <c r="E122" s="1786"/>
      <c r="F122" s="1786"/>
      <c r="G122" s="1786"/>
      <c r="H122" s="1786"/>
      <c r="I122" s="1786"/>
      <c r="J122" s="1786"/>
      <c r="K122" s="1977"/>
      <c r="L122" s="1786"/>
    </row>
    <row r="123" spans="4:12" ht="15">
      <c r="D123" s="1786"/>
      <c r="E123" s="1786"/>
      <c r="F123" s="1786"/>
      <c r="G123" s="1786"/>
      <c r="H123" s="1786"/>
      <c r="I123" s="1786"/>
      <c r="J123" s="1786"/>
      <c r="K123" s="1977"/>
      <c r="L123" s="1786"/>
    </row>
    <row r="124" spans="4:12" ht="15">
      <c r="D124" s="1786"/>
      <c r="E124" s="1786"/>
      <c r="F124" s="1786"/>
      <c r="G124" s="1786"/>
      <c r="H124" s="1786"/>
      <c r="I124" s="1786"/>
      <c r="J124" s="1786"/>
      <c r="K124" s="1977"/>
      <c r="L124" s="1786"/>
    </row>
    <row r="125" spans="4:12" ht="15">
      <c r="D125" s="1786"/>
      <c r="E125" s="1786"/>
      <c r="F125" s="1786"/>
      <c r="G125" s="1786"/>
      <c r="H125" s="1786"/>
      <c r="I125" s="1786"/>
      <c r="J125" s="1786"/>
      <c r="K125" s="1977"/>
      <c r="L125" s="1786"/>
    </row>
    <row r="126" spans="4:12" ht="15">
      <c r="D126" s="1786"/>
      <c r="E126" s="1786"/>
      <c r="F126" s="1786"/>
      <c r="G126" s="1786"/>
      <c r="H126" s="1786"/>
      <c r="I126" s="1786"/>
      <c r="J126" s="1786"/>
      <c r="K126" s="1977"/>
      <c r="L126" s="1786"/>
    </row>
    <row r="127" spans="4:12" ht="15">
      <c r="D127" s="1786"/>
      <c r="E127" s="1786"/>
      <c r="F127" s="1786"/>
      <c r="G127" s="1786"/>
      <c r="H127" s="1786"/>
      <c r="I127" s="1786"/>
      <c r="J127" s="1786"/>
      <c r="K127" s="1977"/>
      <c r="L127" s="1786"/>
    </row>
    <row r="128" spans="4:12" ht="15">
      <c r="D128" s="1786"/>
      <c r="E128" s="1786"/>
      <c r="F128" s="1786"/>
      <c r="G128" s="1786"/>
      <c r="H128" s="1786"/>
      <c r="I128" s="1786"/>
      <c r="J128" s="1786"/>
      <c r="K128" s="1977"/>
      <c r="L128" s="1786"/>
    </row>
    <row r="129" spans="4:12" ht="15">
      <c r="D129" s="1786"/>
      <c r="E129" s="1786"/>
      <c r="F129" s="1786"/>
      <c r="G129" s="1786"/>
      <c r="H129" s="1786"/>
      <c r="I129" s="1786"/>
      <c r="J129" s="1786"/>
      <c r="K129" s="1977"/>
      <c r="L129" s="1786"/>
    </row>
    <row r="130" spans="4:12" ht="15">
      <c r="D130" s="1786"/>
      <c r="E130" s="1786"/>
      <c r="F130" s="1786"/>
      <c r="G130" s="1786"/>
      <c r="H130" s="1786"/>
      <c r="I130" s="1786"/>
      <c r="J130" s="1786"/>
      <c r="K130" s="1977"/>
      <c r="L130" s="1786"/>
    </row>
    <row r="131" spans="4:12" ht="15">
      <c r="D131" s="1786"/>
      <c r="E131" s="1786"/>
      <c r="F131" s="1786"/>
      <c r="G131" s="1786"/>
      <c r="H131" s="1786"/>
      <c r="I131" s="1786"/>
      <c r="J131" s="1786"/>
      <c r="K131" s="1977"/>
      <c r="L131" s="1786"/>
    </row>
    <row r="132" spans="4:12" ht="15">
      <c r="D132" s="1786"/>
      <c r="E132" s="1786"/>
      <c r="F132" s="1786"/>
      <c r="G132" s="1786"/>
      <c r="H132" s="1786"/>
      <c r="I132" s="1786"/>
      <c r="J132" s="1786"/>
      <c r="K132" s="1977"/>
      <c r="L132" s="1786"/>
    </row>
    <row r="133" spans="4:12" ht="15">
      <c r="D133" s="1786"/>
      <c r="E133" s="1786"/>
      <c r="F133" s="1786"/>
      <c r="G133" s="1786"/>
      <c r="H133" s="1786"/>
      <c r="I133" s="1786"/>
      <c r="J133" s="1786"/>
      <c r="K133" s="1977"/>
      <c r="L133" s="1786"/>
    </row>
    <row r="134" spans="4:12" ht="15">
      <c r="D134" s="1786"/>
      <c r="E134" s="1786"/>
      <c r="F134" s="1786"/>
      <c r="G134" s="1786"/>
      <c r="H134" s="1786"/>
      <c r="I134" s="1786"/>
      <c r="J134" s="1786"/>
      <c r="K134" s="1977"/>
      <c r="L134" s="1786"/>
    </row>
    <row r="135" spans="4:12" ht="15">
      <c r="D135" s="1786"/>
      <c r="E135" s="1786"/>
      <c r="F135" s="1786"/>
      <c r="G135" s="1786"/>
      <c r="H135" s="1786"/>
      <c r="I135" s="1786"/>
      <c r="J135" s="1786"/>
      <c r="K135" s="1977"/>
      <c r="L135" s="1786"/>
    </row>
    <row r="136" spans="4:12" ht="15">
      <c r="D136" s="1786"/>
      <c r="E136" s="1786"/>
      <c r="F136" s="1786"/>
      <c r="G136" s="1786"/>
      <c r="H136" s="1786"/>
      <c r="I136" s="1786"/>
      <c r="J136" s="1786"/>
      <c r="K136" s="1977"/>
      <c r="L136" s="1786"/>
    </row>
    <row r="137" spans="4:12" ht="15">
      <c r="D137" s="1786"/>
      <c r="E137" s="1786"/>
      <c r="F137" s="1786"/>
      <c r="G137" s="1786"/>
      <c r="H137" s="1786"/>
      <c r="I137" s="1786"/>
      <c r="J137" s="1786"/>
      <c r="K137" s="1977"/>
      <c r="L137" s="1786"/>
    </row>
    <row r="138" spans="4:12" ht="15">
      <c r="D138" s="1786"/>
      <c r="E138" s="1786"/>
      <c r="F138" s="1786"/>
      <c r="G138" s="1786"/>
      <c r="H138" s="1786"/>
      <c r="I138" s="1786"/>
      <c r="J138" s="1786"/>
      <c r="K138" s="1977"/>
      <c r="L138" s="1786"/>
    </row>
    <row r="139" spans="4:12" ht="15">
      <c r="D139" s="1786"/>
      <c r="E139" s="1786"/>
      <c r="F139" s="1786"/>
      <c r="G139" s="1786"/>
      <c r="H139" s="1786"/>
      <c r="I139" s="1786"/>
      <c r="J139" s="1786"/>
      <c r="K139" s="1977"/>
      <c r="L139" s="1786"/>
    </row>
    <row r="140" spans="4:12" ht="15">
      <c r="D140" s="1786"/>
      <c r="E140" s="1786"/>
      <c r="F140" s="1786"/>
      <c r="G140" s="1786"/>
      <c r="H140" s="1786"/>
      <c r="I140" s="1786"/>
      <c r="J140" s="1786"/>
      <c r="K140" s="1977"/>
      <c r="L140" s="1786"/>
    </row>
    <row r="141" spans="4:12" ht="15">
      <c r="D141" s="1786"/>
      <c r="E141" s="1786"/>
      <c r="F141" s="1786"/>
      <c r="G141" s="1786"/>
      <c r="H141" s="1786"/>
      <c r="I141" s="1786"/>
      <c r="J141" s="1786"/>
      <c r="K141" s="1977"/>
      <c r="L141" s="1786"/>
    </row>
    <row r="142" spans="4:12" ht="15">
      <c r="D142" s="1786"/>
      <c r="E142" s="1786"/>
      <c r="F142" s="1786"/>
      <c r="G142" s="1786"/>
      <c r="H142" s="1786"/>
      <c r="I142" s="1786"/>
      <c r="J142" s="1786"/>
      <c r="K142" s="1977"/>
      <c r="L142" s="1786"/>
    </row>
    <row r="143" spans="4:12" ht="15">
      <c r="D143" s="1786"/>
      <c r="E143" s="1786"/>
      <c r="F143" s="1786"/>
      <c r="G143" s="1786"/>
      <c r="H143" s="1786"/>
      <c r="I143" s="1786"/>
      <c r="J143" s="1786"/>
      <c r="K143" s="1977"/>
      <c r="L143" s="1786"/>
    </row>
    <row r="144" spans="4:12" ht="15">
      <c r="D144" s="1786"/>
      <c r="E144" s="1786"/>
      <c r="F144" s="1786"/>
      <c r="G144" s="1786"/>
      <c r="H144" s="1786"/>
      <c r="I144" s="1786"/>
      <c r="J144" s="1786"/>
      <c r="K144" s="1977"/>
      <c r="L144" s="1786"/>
    </row>
    <row r="145" spans="4:12" ht="15">
      <c r="D145" s="1786"/>
      <c r="E145" s="1786"/>
      <c r="F145" s="1786"/>
      <c r="G145" s="1786"/>
      <c r="H145" s="1786"/>
      <c r="I145" s="1786"/>
      <c r="J145" s="1786"/>
      <c r="K145" s="1977"/>
      <c r="L145" s="1786"/>
    </row>
    <row r="146" spans="4:12" ht="15">
      <c r="D146" s="1786"/>
      <c r="E146" s="1786"/>
      <c r="F146" s="1786"/>
      <c r="G146" s="1786"/>
      <c r="H146" s="1786"/>
      <c r="I146" s="1786"/>
      <c r="J146" s="1786"/>
      <c r="K146" s="1977"/>
      <c r="L146" s="1786"/>
    </row>
    <row r="147" spans="4:12" ht="15">
      <c r="D147" s="1786"/>
      <c r="E147" s="1786"/>
      <c r="F147" s="1786"/>
      <c r="G147" s="1786"/>
      <c r="H147" s="1786"/>
      <c r="I147" s="1786"/>
      <c r="J147" s="1786"/>
      <c r="K147" s="1977"/>
      <c r="L147" s="1786"/>
    </row>
    <row r="148" spans="4:12" ht="15">
      <c r="D148" s="1786"/>
      <c r="E148" s="1786"/>
      <c r="F148" s="1786"/>
      <c r="G148" s="1786"/>
      <c r="H148" s="1786"/>
      <c r="I148" s="1786"/>
      <c r="J148" s="1786"/>
      <c r="K148" s="1977"/>
      <c r="L148" s="1786"/>
    </row>
    <row r="149" spans="4:12" ht="15">
      <c r="D149" s="1786"/>
      <c r="E149" s="1786"/>
      <c r="F149" s="1786"/>
      <c r="G149" s="1786"/>
      <c r="H149" s="1786"/>
      <c r="I149" s="1786"/>
      <c r="J149" s="1786"/>
      <c r="K149" s="1977"/>
      <c r="L149" s="1786"/>
    </row>
    <row r="150" spans="4:12" ht="15">
      <c r="D150" s="1786"/>
      <c r="E150" s="1786"/>
      <c r="F150" s="1786"/>
      <c r="G150" s="1786"/>
      <c r="H150" s="1786"/>
      <c r="I150" s="1786"/>
      <c r="J150" s="1786"/>
      <c r="K150" s="1977"/>
      <c r="L150" s="1786"/>
    </row>
    <row r="151" spans="4:12" ht="15">
      <c r="D151" s="1786"/>
      <c r="E151" s="1786"/>
      <c r="F151" s="1786"/>
      <c r="G151" s="1786"/>
      <c r="H151" s="1786"/>
      <c r="I151" s="1786"/>
      <c r="J151" s="1786"/>
      <c r="K151" s="1977"/>
      <c r="L151" s="1786"/>
    </row>
    <row r="152" spans="4:12" ht="15">
      <c r="D152" s="1786"/>
      <c r="E152" s="1786"/>
      <c r="F152" s="1786"/>
      <c r="G152" s="1786"/>
      <c r="H152" s="1786"/>
      <c r="I152" s="1786"/>
      <c r="J152" s="1786"/>
      <c r="K152" s="1977"/>
      <c r="L152" s="1786"/>
    </row>
    <row r="153" spans="4:12" ht="15">
      <c r="D153" s="1786"/>
      <c r="E153" s="1786"/>
      <c r="F153" s="1786"/>
      <c r="G153" s="1786"/>
      <c r="H153" s="1786"/>
      <c r="I153" s="1786"/>
      <c r="J153" s="1786"/>
      <c r="K153" s="1977"/>
      <c r="L153" s="1786"/>
    </row>
    <row r="154" spans="4:12" ht="15">
      <c r="D154" s="1786"/>
      <c r="E154" s="1786"/>
      <c r="F154" s="1786"/>
      <c r="G154" s="1786"/>
      <c r="H154" s="1786"/>
      <c r="I154" s="1786"/>
      <c r="J154" s="1786"/>
      <c r="K154" s="1977"/>
      <c r="L154" s="1786"/>
    </row>
    <row r="155" spans="4:12" ht="15">
      <c r="D155" s="1786"/>
      <c r="E155" s="1786"/>
      <c r="F155" s="1786"/>
      <c r="G155" s="1786"/>
      <c r="H155" s="1786"/>
      <c r="I155" s="1786"/>
      <c r="J155" s="1786"/>
      <c r="K155" s="1977"/>
      <c r="L155" s="1786"/>
    </row>
    <row r="156" spans="4:12" ht="15">
      <c r="D156" s="1786"/>
      <c r="E156" s="1786"/>
      <c r="F156" s="1786"/>
      <c r="G156" s="1786"/>
      <c r="H156" s="1786"/>
      <c r="I156" s="1786"/>
      <c r="J156" s="1786"/>
      <c r="K156" s="1977"/>
      <c r="L156" s="1786"/>
    </row>
    <row r="157" spans="4:12" ht="15">
      <c r="D157" s="1786"/>
      <c r="E157" s="1786"/>
      <c r="F157" s="1786"/>
      <c r="G157" s="1786"/>
      <c r="H157" s="1786"/>
      <c r="I157" s="1786"/>
      <c r="J157" s="1786"/>
      <c r="K157" s="1977"/>
      <c r="L157" s="1786"/>
    </row>
    <row r="158" spans="4:12" ht="15">
      <c r="D158" s="1786"/>
      <c r="E158" s="1786"/>
      <c r="F158" s="1786"/>
      <c r="G158" s="1786"/>
      <c r="H158" s="1786"/>
      <c r="I158" s="1786"/>
      <c r="J158" s="1786"/>
      <c r="K158" s="1977"/>
      <c r="L158" s="1786"/>
    </row>
    <row r="159" spans="4:12" ht="15">
      <c r="D159" s="1786"/>
      <c r="E159" s="1786"/>
      <c r="F159" s="1786"/>
      <c r="G159" s="1786"/>
      <c r="H159" s="1786"/>
      <c r="I159" s="1786"/>
      <c r="J159" s="1786"/>
      <c r="K159" s="1977"/>
      <c r="L159" s="1786"/>
    </row>
    <row r="160" spans="4:12" ht="15">
      <c r="D160" s="1786"/>
      <c r="E160" s="1786"/>
      <c r="F160" s="1786"/>
      <c r="G160" s="1786"/>
      <c r="H160" s="1786"/>
      <c r="I160" s="1786"/>
      <c r="J160" s="1786"/>
      <c r="K160" s="1977"/>
      <c r="L160" s="1786"/>
    </row>
    <row r="161" spans="4:12" ht="15">
      <c r="D161" s="1786"/>
      <c r="E161" s="1786"/>
      <c r="F161" s="1786"/>
      <c r="G161" s="1786"/>
      <c r="H161" s="1786"/>
      <c r="I161" s="1786"/>
      <c r="J161" s="1786"/>
      <c r="K161" s="1977"/>
      <c r="L161" s="1786"/>
    </row>
    <row r="162" spans="4:12" ht="15">
      <c r="D162" s="1786"/>
      <c r="E162" s="1786"/>
      <c r="F162" s="1786"/>
      <c r="G162" s="1786"/>
      <c r="H162" s="1786"/>
      <c r="I162" s="1786"/>
      <c r="J162" s="1786"/>
      <c r="K162" s="1977"/>
      <c r="L162" s="1786"/>
    </row>
    <row r="163" spans="4:12" ht="15">
      <c r="D163" s="1786"/>
      <c r="E163" s="1786"/>
      <c r="F163" s="1786"/>
      <c r="G163" s="1786"/>
      <c r="H163" s="1786"/>
      <c r="I163" s="1786"/>
      <c r="J163" s="1786"/>
      <c r="K163" s="1977"/>
      <c r="L163" s="1786"/>
    </row>
    <row r="164" spans="4:12" ht="15">
      <c r="D164" s="1786"/>
      <c r="E164" s="1786"/>
      <c r="F164" s="1786"/>
      <c r="G164" s="1786"/>
      <c r="H164" s="1786"/>
      <c r="I164" s="1786"/>
      <c r="J164" s="1786"/>
      <c r="K164" s="1977"/>
      <c r="L164" s="1786"/>
    </row>
    <row r="165" spans="4:12" ht="15">
      <c r="D165" s="1786"/>
      <c r="E165" s="1786"/>
      <c r="F165" s="1786"/>
      <c r="G165" s="1786"/>
      <c r="H165" s="1786"/>
      <c r="I165" s="1786"/>
      <c r="J165" s="1786"/>
      <c r="K165" s="1977"/>
      <c r="L165" s="1786"/>
    </row>
    <row r="166" spans="4:12" ht="15">
      <c r="D166" s="1786"/>
      <c r="E166" s="1786"/>
      <c r="F166" s="1786"/>
      <c r="G166" s="1786"/>
      <c r="H166" s="1786"/>
      <c r="I166" s="1786"/>
      <c r="J166" s="1786"/>
      <c r="K166" s="1977"/>
      <c r="L166" s="1786"/>
    </row>
    <row r="167" spans="4:12" ht="15">
      <c r="D167" s="1786"/>
      <c r="E167" s="1786"/>
      <c r="F167" s="1786"/>
      <c r="G167" s="1786"/>
      <c r="H167" s="1786"/>
      <c r="I167" s="1786"/>
      <c r="J167" s="1786"/>
      <c r="K167" s="1977"/>
      <c r="L167" s="1786"/>
    </row>
    <row r="168" spans="4:12" ht="15">
      <c r="D168" s="1786"/>
      <c r="E168" s="1786"/>
      <c r="F168" s="1786"/>
      <c r="G168" s="1786"/>
      <c r="H168" s="1786"/>
      <c r="I168" s="1786"/>
      <c r="J168" s="1786"/>
      <c r="K168" s="1977"/>
      <c r="L168" s="1786"/>
    </row>
    <row r="169" spans="4:12" ht="15">
      <c r="D169" s="1786"/>
      <c r="E169" s="1786"/>
      <c r="F169" s="1786"/>
      <c r="G169" s="1786"/>
      <c r="H169" s="1786"/>
      <c r="I169" s="1786"/>
      <c r="J169" s="1786"/>
      <c r="K169" s="1977"/>
      <c r="L169" s="1786"/>
    </row>
    <row r="170" spans="4:12" ht="15">
      <c r="D170" s="1786"/>
      <c r="E170" s="1786"/>
      <c r="F170" s="1786"/>
      <c r="G170" s="1786"/>
      <c r="H170" s="1786"/>
      <c r="I170" s="1786"/>
      <c r="J170" s="1786"/>
      <c r="K170" s="1977"/>
      <c r="L170" s="1786"/>
    </row>
    <row r="171" spans="4:12" ht="15">
      <c r="D171" s="1786"/>
      <c r="E171" s="1786"/>
      <c r="F171" s="1786"/>
      <c r="G171" s="1786"/>
      <c r="H171" s="1786"/>
      <c r="I171" s="1786"/>
      <c r="J171" s="1786"/>
      <c r="K171" s="1977"/>
      <c r="L171" s="1786"/>
    </row>
    <row r="172" spans="4:12" ht="15">
      <c r="D172" s="1786"/>
      <c r="E172" s="1786"/>
      <c r="F172" s="1786"/>
      <c r="G172" s="1786"/>
      <c r="H172" s="1786"/>
      <c r="I172" s="1786"/>
      <c r="J172" s="1786"/>
      <c r="K172" s="1977"/>
      <c r="L172" s="1786"/>
    </row>
    <row r="173" spans="4:12" ht="15">
      <c r="D173" s="1786"/>
      <c r="E173" s="1786"/>
      <c r="F173" s="1786"/>
      <c r="G173" s="1786"/>
      <c r="H173" s="1786"/>
      <c r="I173" s="1786"/>
      <c r="J173" s="1786"/>
      <c r="K173" s="1977"/>
      <c r="L173" s="1786"/>
    </row>
    <row r="174" spans="4:12" ht="15">
      <c r="D174" s="1786"/>
      <c r="E174" s="1786"/>
      <c r="F174" s="1786"/>
      <c r="G174" s="1786"/>
      <c r="H174" s="1786"/>
      <c r="I174" s="1786"/>
      <c r="J174" s="1786"/>
      <c r="K174" s="1977"/>
      <c r="L174" s="1786"/>
    </row>
    <row r="175" spans="4:12" ht="15">
      <c r="D175" s="1786"/>
      <c r="E175" s="1786"/>
      <c r="F175" s="1786"/>
      <c r="G175" s="1786"/>
      <c r="H175" s="1786"/>
      <c r="I175" s="1786"/>
      <c r="J175" s="1786"/>
      <c r="K175" s="1977"/>
      <c r="L175" s="1786"/>
    </row>
    <row r="176" spans="4:12" ht="15">
      <c r="D176" s="1786"/>
      <c r="E176" s="1786"/>
      <c r="F176" s="1786"/>
      <c r="G176" s="1786"/>
      <c r="H176" s="1786"/>
      <c r="I176" s="1786"/>
      <c r="J176" s="1786"/>
      <c r="K176" s="1977"/>
      <c r="L176" s="1786"/>
    </row>
    <row r="177" spans="4:12" ht="15">
      <c r="D177" s="1786"/>
      <c r="E177" s="1786"/>
      <c r="F177" s="1786"/>
      <c r="G177" s="1786"/>
      <c r="H177" s="1786"/>
      <c r="I177" s="1786"/>
      <c r="J177" s="1786"/>
      <c r="K177" s="1977"/>
      <c r="L177" s="1786"/>
    </row>
    <row r="178" spans="4:12" ht="15">
      <c r="D178" s="1786"/>
      <c r="E178" s="1786"/>
      <c r="F178" s="1786"/>
      <c r="G178" s="1786"/>
      <c r="H178" s="1786"/>
      <c r="I178" s="1786"/>
      <c r="J178" s="1786"/>
      <c r="K178" s="1977"/>
      <c r="L178" s="1786"/>
    </row>
    <row r="179" spans="4:12" ht="15">
      <c r="D179" s="1786"/>
      <c r="E179" s="1786"/>
      <c r="F179" s="1786"/>
      <c r="G179" s="1786"/>
      <c r="H179" s="1786"/>
      <c r="I179" s="1786"/>
      <c r="J179" s="1786"/>
      <c r="K179" s="1977"/>
      <c r="L179" s="1786"/>
    </row>
    <row r="180" spans="4:12" ht="15">
      <c r="D180" s="1786"/>
      <c r="E180" s="1786"/>
      <c r="F180" s="1786"/>
      <c r="G180" s="1786"/>
      <c r="H180" s="1786"/>
      <c r="I180" s="1786"/>
      <c r="J180" s="1786"/>
      <c r="K180" s="1977"/>
      <c r="L180" s="1786"/>
    </row>
    <row r="181" spans="4:12" ht="15">
      <c r="D181" s="1786"/>
      <c r="E181" s="1786"/>
      <c r="F181" s="1786"/>
      <c r="G181" s="1786"/>
      <c r="H181" s="1786"/>
      <c r="I181" s="1786"/>
      <c r="J181" s="1786"/>
      <c r="K181" s="1977"/>
      <c r="L181" s="1786"/>
    </row>
    <row r="182" spans="4:12" ht="15">
      <c r="D182" s="1786"/>
      <c r="E182" s="1786"/>
      <c r="F182" s="1786"/>
      <c r="G182" s="1786"/>
      <c r="H182" s="1786"/>
      <c r="I182" s="1786"/>
      <c r="J182" s="1786"/>
      <c r="K182" s="1977"/>
      <c r="L182" s="1786"/>
    </row>
    <row r="183" spans="4:12" ht="15">
      <c r="D183" s="1786"/>
      <c r="E183" s="1786"/>
      <c r="F183" s="1786"/>
      <c r="G183" s="1786"/>
      <c r="H183" s="1786"/>
      <c r="I183" s="1786"/>
      <c r="J183" s="1786"/>
      <c r="K183" s="1977"/>
      <c r="L183" s="1786"/>
    </row>
    <row r="184" spans="4:12" ht="15">
      <c r="D184" s="1786"/>
      <c r="E184" s="1786"/>
      <c r="F184" s="1786"/>
      <c r="G184" s="1786"/>
      <c r="H184" s="1786"/>
      <c r="I184" s="1786"/>
      <c r="J184" s="1786"/>
      <c r="K184" s="1977"/>
      <c r="L184" s="1786"/>
    </row>
    <row r="185" spans="4:12" ht="15">
      <c r="D185" s="1786"/>
      <c r="E185" s="1786"/>
      <c r="F185" s="1786"/>
      <c r="G185" s="1786"/>
      <c r="H185" s="1786"/>
      <c r="I185" s="1786"/>
      <c r="J185" s="1786"/>
      <c r="K185" s="1977"/>
      <c r="L185" s="1786"/>
    </row>
    <row r="186" spans="4:12" ht="15">
      <c r="D186" s="1786"/>
      <c r="E186" s="1786"/>
      <c r="F186" s="1786"/>
      <c r="G186" s="1786"/>
      <c r="H186" s="1786"/>
      <c r="I186" s="1786"/>
      <c r="J186" s="1786"/>
      <c r="K186" s="1977"/>
      <c r="L186" s="1786"/>
    </row>
    <row r="187" spans="4:12" ht="15">
      <c r="D187" s="1786"/>
      <c r="E187" s="1786"/>
      <c r="F187" s="1786"/>
      <c r="G187" s="1786"/>
      <c r="H187" s="1786"/>
      <c r="I187" s="1786"/>
      <c r="J187" s="1786"/>
      <c r="K187" s="1977"/>
      <c r="L187" s="1786"/>
    </row>
    <row r="188" spans="4:12" ht="15">
      <c r="D188" s="1786"/>
      <c r="E188" s="1786"/>
      <c r="F188" s="1786"/>
      <c r="G188" s="1786"/>
      <c r="H188" s="1786"/>
      <c r="I188" s="1786"/>
      <c r="J188" s="1786"/>
      <c r="K188" s="1977"/>
      <c r="L188" s="1786"/>
    </row>
    <row r="189" spans="4:12" ht="15">
      <c r="D189" s="1786"/>
      <c r="E189" s="1786"/>
      <c r="F189" s="1786"/>
      <c r="G189" s="1786"/>
      <c r="H189" s="1786"/>
      <c r="I189" s="1786"/>
      <c r="J189" s="1786"/>
      <c r="K189" s="1977"/>
      <c r="L189" s="1786"/>
    </row>
    <row r="190" spans="4:12" ht="15">
      <c r="D190" s="1786"/>
      <c r="E190" s="1786"/>
      <c r="F190" s="1786"/>
      <c r="G190" s="1786"/>
      <c r="H190" s="1786"/>
      <c r="I190" s="1786"/>
      <c r="J190" s="1786"/>
      <c r="K190" s="1977"/>
      <c r="L190" s="1786"/>
    </row>
    <row r="191" spans="4:12" ht="15">
      <c r="D191" s="1786"/>
      <c r="E191" s="1786"/>
      <c r="F191" s="1786"/>
      <c r="G191" s="1786"/>
      <c r="H191" s="1786"/>
      <c r="I191" s="1786"/>
      <c r="J191" s="1786"/>
      <c r="K191" s="1977"/>
      <c r="L191" s="1786"/>
    </row>
    <row r="192" spans="4:12" ht="15">
      <c r="D192" s="1786"/>
      <c r="E192" s="1786"/>
      <c r="F192" s="1786"/>
      <c r="G192" s="1786"/>
      <c r="H192" s="1786"/>
      <c r="I192" s="1786"/>
      <c r="J192" s="1786"/>
      <c r="K192" s="1977"/>
      <c r="L192" s="1786"/>
    </row>
    <row r="193" spans="4:12" ht="15">
      <c r="D193" s="1786"/>
      <c r="E193" s="1786"/>
      <c r="F193" s="1786"/>
      <c r="G193" s="1786"/>
      <c r="H193" s="1786"/>
      <c r="I193" s="1786"/>
      <c r="J193" s="1786"/>
      <c r="K193" s="1977"/>
      <c r="L193" s="1786"/>
    </row>
    <row r="194" spans="4:12" ht="15">
      <c r="D194" s="1786"/>
      <c r="E194" s="1786"/>
      <c r="F194" s="1786"/>
      <c r="G194" s="1786"/>
      <c r="H194" s="1786"/>
      <c r="I194" s="1786"/>
      <c r="J194" s="1786"/>
      <c r="K194" s="1977"/>
      <c r="L194" s="1786"/>
    </row>
    <row r="195" spans="4:12" ht="15">
      <c r="D195" s="1786"/>
      <c r="E195" s="1786"/>
      <c r="F195" s="1786"/>
      <c r="G195" s="1786"/>
      <c r="H195" s="1786"/>
      <c r="I195" s="1786"/>
      <c r="J195" s="1786"/>
      <c r="K195" s="1977"/>
      <c r="L195" s="1786"/>
    </row>
    <row r="196" spans="4:12" ht="15">
      <c r="D196" s="1786"/>
      <c r="E196" s="1786"/>
      <c r="F196" s="1786"/>
      <c r="G196" s="1786"/>
      <c r="H196" s="1786"/>
      <c r="I196" s="1786"/>
      <c r="J196" s="1786"/>
      <c r="K196" s="1977"/>
      <c r="L196" s="1786"/>
    </row>
    <row r="197" spans="4:12" ht="15">
      <c r="D197" s="1786"/>
      <c r="E197" s="1786"/>
      <c r="F197" s="1786"/>
      <c r="G197" s="1786"/>
      <c r="H197" s="1786"/>
      <c r="I197" s="1786"/>
      <c r="J197" s="1786"/>
      <c r="K197" s="1977"/>
      <c r="L197" s="1786"/>
    </row>
    <row r="198" spans="4:12" ht="15">
      <c r="D198" s="1786"/>
      <c r="E198" s="1786"/>
      <c r="F198" s="1786"/>
      <c r="G198" s="1786"/>
      <c r="H198" s="1786"/>
      <c r="I198" s="1786"/>
      <c r="J198" s="1786"/>
      <c r="K198" s="1977"/>
      <c r="L198" s="1786"/>
    </row>
    <row r="199" spans="4:12" ht="15">
      <c r="D199" s="1786"/>
      <c r="E199" s="1786"/>
      <c r="F199" s="1786"/>
      <c r="G199" s="1786"/>
      <c r="H199" s="1786"/>
      <c r="I199" s="1786"/>
      <c r="J199" s="1786"/>
      <c r="K199" s="1977"/>
      <c r="L199" s="1786"/>
    </row>
    <row r="200" spans="4:12" ht="15">
      <c r="D200" s="1786"/>
      <c r="E200" s="1786"/>
      <c r="F200" s="1786"/>
      <c r="G200" s="1786"/>
      <c r="H200" s="1786"/>
      <c r="I200" s="1786"/>
      <c r="J200" s="1786"/>
      <c r="K200" s="1977"/>
      <c r="L200" s="1786"/>
    </row>
    <row r="201" spans="4:12" ht="15">
      <c r="D201" s="1786"/>
      <c r="E201" s="1786"/>
      <c r="F201" s="1786"/>
      <c r="G201" s="1786"/>
      <c r="H201" s="1786"/>
      <c r="I201" s="1786"/>
      <c r="J201" s="1786"/>
      <c r="K201" s="1977"/>
      <c r="L201" s="1786"/>
    </row>
    <row r="202" spans="4:12" ht="15">
      <c r="D202" s="1786"/>
      <c r="E202" s="1786"/>
      <c r="F202" s="1786"/>
      <c r="G202" s="1786"/>
      <c r="H202" s="1786"/>
      <c r="I202" s="1786"/>
      <c r="J202" s="1786"/>
      <c r="K202" s="1977"/>
      <c r="L202" s="1786"/>
    </row>
    <row r="203" spans="4:12" ht="15">
      <c r="D203" s="1786"/>
      <c r="E203" s="1786"/>
      <c r="F203" s="1786"/>
      <c r="G203" s="1786"/>
      <c r="H203" s="1786"/>
      <c r="I203" s="1786"/>
      <c r="J203" s="1786"/>
      <c r="K203" s="1977"/>
      <c r="L203" s="1786"/>
    </row>
    <row r="204" spans="4:12" ht="15">
      <c r="D204" s="1786"/>
      <c r="E204" s="1786"/>
      <c r="F204" s="1786"/>
      <c r="G204" s="1786"/>
      <c r="H204" s="1786"/>
      <c r="I204" s="1786"/>
      <c r="J204" s="1786"/>
      <c r="K204" s="1977"/>
      <c r="L204" s="1786"/>
    </row>
    <row r="205" spans="4:12" ht="15">
      <c r="D205" s="1786"/>
      <c r="E205" s="1786"/>
      <c r="F205" s="1786"/>
      <c r="G205" s="1786"/>
      <c r="H205" s="1786"/>
      <c r="I205" s="1786"/>
      <c r="J205" s="1786"/>
      <c r="K205" s="1977"/>
      <c r="L205" s="1786"/>
    </row>
    <row r="206" spans="4:12" ht="15">
      <c r="D206" s="1786"/>
      <c r="E206" s="1786"/>
      <c r="F206" s="1786"/>
      <c r="G206" s="1786"/>
      <c r="H206" s="1786"/>
      <c r="I206" s="1786"/>
      <c r="J206" s="1786"/>
      <c r="K206" s="1977"/>
      <c r="L206" s="1786"/>
    </row>
    <row r="207" spans="4:12" ht="15">
      <c r="D207" s="1786"/>
      <c r="E207" s="1786"/>
      <c r="F207" s="1786"/>
      <c r="G207" s="1786"/>
      <c r="H207" s="1786"/>
      <c r="I207" s="1786"/>
      <c r="J207" s="1786"/>
      <c r="K207" s="1977"/>
      <c r="L207" s="1786"/>
    </row>
    <row r="208" spans="4:12" ht="15">
      <c r="D208" s="1786"/>
      <c r="E208" s="1786"/>
      <c r="F208" s="1786"/>
      <c r="G208" s="1786"/>
      <c r="H208" s="1786"/>
      <c r="I208" s="1786"/>
      <c r="J208" s="1786"/>
      <c r="K208" s="1977"/>
      <c r="L208" s="1786"/>
    </row>
    <row r="209" spans="4:12" ht="15">
      <c r="D209" s="1786"/>
      <c r="E209" s="1786"/>
      <c r="F209" s="1786"/>
      <c r="G209" s="1786"/>
      <c r="H209" s="1786"/>
      <c r="I209" s="1786"/>
      <c r="J209" s="1786"/>
      <c r="K209" s="1977"/>
      <c r="L209" s="1786"/>
    </row>
    <row r="210" spans="4:12" ht="15">
      <c r="D210" s="1786"/>
      <c r="E210" s="1786"/>
      <c r="F210" s="1786"/>
      <c r="G210" s="1786"/>
      <c r="H210" s="1786"/>
      <c r="I210" s="1786"/>
      <c r="J210" s="1786"/>
      <c r="K210" s="1977"/>
      <c r="L210" s="1786"/>
    </row>
    <row r="211" spans="4:12" ht="15">
      <c r="D211" s="1786"/>
      <c r="E211" s="1786"/>
      <c r="F211" s="1786"/>
      <c r="G211" s="1786"/>
      <c r="H211" s="1786"/>
      <c r="I211" s="1786"/>
      <c r="J211" s="1786"/>
      <c r="K211" s="1977"/>
      <c r="L211" s="1786"/>
    </row>
    <row r="212" spans="4:12" ht="15">
      <c r="D212" s="1786"/>
      <c r="E212" s="1786"/>
      <c r="F212" s="1786"/>
      <c r="G212" s="1786"/>
      <c r="H212" s="1786"/>
      <c r="I212" s="1786"/>
      <c r="J212" s="1786"/>
      <c r="K212" s="1977"/>
      <c r="L212" s="1786"/>
    </row>
    <row r="213" spans="4:12" ht="15">
      <c r="D213" s="1786"/>
      <c r="E213" s="1786"/>
      <c r="F213" s="1786"/>
      <c r="G213" s="1786"/>
      <c r="H213" s="1786"/>
      <c r="I213" s="1786"/>
      <c r="J213" s="1786"/>
      <c r="K213" s="1977"/>
      <c r="L213" s="1786"/>
    </row>
    <row r="214" spans="4:12" ht="15">
      <c r="D214" s="1786"/>
      <c r="E214" s="1786"/>
      <c r="F214" s="1786"/>
      <c r="G214" s="1786"/>
      <c r="H214" s="1786"/>
      <c r="I214" s="1786"/>
      <c r="J214" s="1786"/>
      <c r="K214" s="1977"/>
      <c r="L214" s="1786"/>
    </row>
    <row r="215" spans="4:12" ht="15">
      <c r="D215" s="1786"/>
      <c r="E215" s="1786"/>
      <c r="F215" s="1786"/>
      <c r="G215" s="1786"/>
      <c r="H215" s="1786"/>
      <c r="I215" s="1786"/>
      <c r="J215" s="1786"/>
      <c r="K215" s="1977"/>
      <c r="L215" s="1786"/>
    </row>
    <row r="216" spans="4:12" ht="15">
      <c r="D216" s="1786"/>
      <c r="E216" s="1786"/>
      <c r="F216" s="1786"/>
      <c r="G216" s="1786"/>
      <c r="H216" s="1786"/>
      <c r="I216" s="1786"/>
      <c r="J216" s="1786"/>
      <c r="K216" s="1977"/>
      <c r="L216" s="1786"/>
    </row>
    <row r="217" spans="4:12" ht="15">
      <c r="D217" s="1786"/>
      <c r="E217" s="1786"/>
      <c r="F217" s="1786"/>
      <c r="G217" s="1786"/>
      <c r="H217" s="1786"/>
      <c r="I217" s="1786"/>
      <c r="J217" s="1786"/>
      <c r="K217" s="1977"/>
      <c r="L217" s="1786"/>
    </row>
    <row r="218" spans="4:12" ht="15">
      <c r="D218" s="1786"/>
      <c r="E218" s="1786"/>
      <c r="F218" s="1786"/>
      <c r="G218" s="1786"/>
      <c r="H218" s="1786"/>
      <c r="I218" s="1786"/>
      <c r="J218" s="1786"/>
      <c r="K218" s="1977"/>
      <c r="L218" s="1786"/>
    </row>
    <row r="219" spans="4:12" ht="15">
      <c r="D219" s="1786"/>
      <c r="E219" s="1786"/>
      <c r="F219" s="1786"/>
      <c r="G219" s="1786"/>
      <c r="H219" s="1786"/>
      <c r="I219" s="1786"/>
      <c r="J219" s="1786"/>
      <c r="K219" s="1977"/>
      <c r="L219" s="1786"/>
    </row>
    <row r="220" spans="4:12" ht="15">
      <c r="D220" s="1786"/>
      <c r="E220" s="1786"/>
      <c r="F220" s="1786"/>
      <c r="G220" s="1786"/>
      <c r="H220" s="1786"/>
      <c r="I220" s="1786"/>
      <c r="J220" s="1786"/>
      <c r="K220" s="1977"/>
      <c r="L220" s="1786"/>
    </row>
    <row r="221" spans="4:12" ht="15">
      <c r="D221" s="1786"/>
      <c r="E221" s="1786"/>
      <c r="F221" s="1786"/>
      <c r="G221" s="1786"/>
      <c r="H221" s="1786"/>
      <c r="I221" s="1786"/>
      <c r="J221" s="1786"/>
      <c r="K221" s="1977"/>
      <c r="L221" s="1786"/>
    </row>
    <row r="222" spans="4:12" ht="15">
      <c r="D222" s="1786"/>
      <c r="E222" s="1786"/>
      <c r="F222" s="1786"/>
      <c r="G222" s="1786"/>
      <c r="H222" s="1786"/>
      <c r="I222" s="1786"/>
      <c r="J222" s="1786"/>
      <c r="K222" s="1977"/>
      <c r="L222" s="1786"/>
    </row>
    <row r="223" spans="4:12" ht="15">
      <c r="D223" s="1786"/>
      <c r="E223" s="1786"/>
      <c r="F223" s="1786"/>
      <c r="G223" s="1786"/>
      <c r="H223" s="1786"/>
      <c r="I223" s="1786"/>
      <c r="J223" s="1786"/>
      <c r="K223" s="1977"/>
      <c r="L223" s="1786"/>
    </row>
    <row r="224" spans="4:12" ht="15">
      <c r="D224" s="1786"/>
      <c r="E224" s="1786"/>
      <c r="F224" s="1786"/>
      <c r="G224" s="1786"/>
      <c r="H224" s="1786"/>
      <c r="I224" s="1786"/>
      <c r="J224" s="1786"/>
      <c r="K224" s="1977"/>
      <c r="L224" s="1786"/>
    </row>
    <row r="225" spans="12:22" ht="15">
      <c r="L225" s="1979"/>
      <c r="M225" s="1980"/>
      <c r="N225" s="1980"/>
      <c r="O225" s="1981"/>
      <c r="P225" s="1980"/>
      <c r="Q225" s="1980"/>
      <c r="R225" s="1980"/>
      <c r="S225" s="1980"/>
      <c r="T225" s="1980"/>
      <c r="U225" s="1980"/>
      <c r="V225" s="1980"/>
    </row>
    <row r="226" spans="12:22" ht="15">
      <c r="L226" s="1979"/>
      <c r="M226" s="1980"/>
      <c r="N226" s="1980"/>
      <c r="O226" s="1981"/>
      <c r="P226" s="1980"/>
      <c r="Q226" s="1980"/>
      <c r="R226" s="1980"/>
      <c r="S226" s="1980"/>
      <c r="T226" s="1980"/>
      <c r="U226" s="1980"/>
      <c r="V226" s="1980"/>
    </row>
    <row r="227" spans="12:22" ht="15">
      <c r="L227" s="1979"/>
      <c r="M227" s="1980"/>
      <c r="N227" s="1980"/>
      <c r="O227" s="1981"/>
      <c r="P227" s="1980"/>
      <c r="Q227" s="1980"/>
      <c r="R227" s="1980"/>
      <c r="S227" s="1980"/>
      <c r="T227" s="1980"/>
      <c r="U227" s="1980"/>
      <c r="V227" s="1980"/>
    </row>
    <row r="228" spans="12:22" ht="15">
      <c r="L228" s="1979"/>
      <c r="M228" s="1980"/>
      <c r="N228" s="1980"/>
      <c r="O228" s="1981"/>
      <c r="P228" s="1980"/>
      <c r="Q228" s="1980"/>
      <c r="R228" s="1980"/>
      <c r="S228" s="1980"/>
      <c r="T228" s="1980"/>
      <c r="U228" s="1980"/>
      <c r="V228" s="1980"/>
    </row>
    <row r="229" spans="12:22" ht="15">
      <c r="L229" s="1979"/>
      <c r="M229" s="1980"/>
      <c r="N229" s="1980"/>
      <c r="O229" s="1981"/>
      <c r="P229" s="1980"/>
      <c r="Q229" s="1980"/>
      <c r="R229" s="1980"/>
      <c r="S229" s="1980"/>
      <c r="T229" s="1980"/>
      <c r="U229" s="1980"/>
      <c r="V229" s="1980"/>
    </row>
    <row r="230" spans="12:22" ht="15">
      <c r="L230" s="1979"/>
      <c r="M230" s="1980"/>
      <c r="N230" s="1980"/>
      <c r="O230" s="1981"/>
      <c r="P230" s="1980"/>
      <c r="Q230" s="1980"/>
      <c r="R230" s="1980"/>
      <c r="S230" s="1980"/>
      <c r="T230" s="1980"/>
      <c r="U230" s="1980"/>
      <c r="V230" s="1980"/>
    </row>
    <row r="231" spans="12:22" ht="15">
      <c r="L231" s="1979"/>
      <c r="M231" s="1980"/>
      <c r="N231" s="1980"/>
      <c r="O231" s="1981"/>
      <c r="P231" s="1980"/>
      <c r="Q231" s="1980"/>
      <c r="R231" s="1980"/>
      <c r="S231" s="1980"/>
      <c r="T231" s="1980"/>
      <c r="U231" s="1980"/>
      <c r="V231" s="1980"/>
    </row>
    <row r="232" spans="12:22" ht="15">
      <c r="L232" s="1979"/>
      <c r="M232" s="1980"/>
      <c r="N232" s="1980"/>
      <c r="O232" s="1981"/>
      <c r="P232" s="1980"/>
      <c r="Q232" s="1980"/>
      <c r="R232" s="1980"/>
      <c r="S232" s="1980"/>
      <c r="T232" s="1980"/>
      <c r="U232" s="1980"/>
      <c r="V232" s="1980"/>
    </row>
    <row r="233" spans="12:22" ht="15">
      <c r="L233" s="1979"/>
      <c r="M233" s="1980"/>
      <c r="N233" s="1980"/>
      <c r="O233" s="1981"/>
      <c r="P233" s="1980"/>
      <c r="Q233" s="1980"/>
      <c r="R233" s="1980"/>
      <c r="S233" s="1980"/>
      <c r="T233" s="1980"/>
      <c r="U233" s="1980"/>
      <c r="V233" s="1980"/>
    </row>
    <row r="234" spans="12:22" ht="15">
      <c r="L234" s="1979"/>
      <c r="M234" s="1980"/>
      <c r="N234" s="1980"/>
      <c r="O234" s="1981"/>
      <c r="P234" s="1980"/>
      <c r="Q234" s="1980"/>
      <c r="R234" s="1980"/>
      <c r="S234" s="1980"/>
      <c r="T234" s="1980"/>
      <c r="U234" s="1980"/>
      <c r="V234" s="1980"/>
    </row>
    <row r="235" spans="12:22" ht="15">
      <c r="L235" s="1979"/>
      <c r="M235" s="1980"/>
      <c r="N235" s="1980"/>
      <c r="O235" s="1981"/>
      <c r="P235" s="1980"/>
      <c r="Q235" s="1980"/>
      <c r="R235" s="1980"/>
      <c r="S235" s="1980"/>
      <c r="T235" s="1980"/>
      <c r="U235" s="1980"/>
      <c r="V235" s="1980"/>
    </row>
    <row r="236" spans="12:22" ht="15">
      <c r="L236" s="1979"/>
      <c r="M236" s="1980"/>
      <c r="N236" s="1980"/>
      <c r="O236" s="1981"/>
      <c r="P236" s="1980"/>
      <c r="Q236" s="1980"/>
      <c r="R236" s="1980"/>
      <c r="S236" s="1980"/>
      <c r="T236" s="1980"/>
      <c r="U236" s="1980"/>
      <c r="V236" s="1980"/>
    </row>
    <row r="237" spans="12:22" ht="15">
      <c r="L237" s="1979"/>
      <c r="M237" s="1980"/>
      <c r="N237" s="1980"/>
      <c r="O237" s="1981"/>
      <c r="P237" s="1980"/>
      <c r="Q237" s="1980"/>
      <c r="R237" s="1980"/>
      <c r="S237" s="1980"/>
      <c r="T237" s="1980"/>
      <c r="U237" s="1980"/>
      <c r="V237" s="1980"/>
    </row>
    <row r="238" spans="12:22" ht="15">
      <c r="L238" s="1979"/>
      <c r="M238" s="1980"/>
      <c r="N238" s="1980"/>
      <c r="O238" s="1981"/>
      <c r="P238" s="1980"/>
      <c r="Q238" s="1980"/>
      <c r="R238" s="1980"/>
      <c r="S238" s="1980"/>
      <c r="T238" s="1980"/>
      <c r="U238" s="1980"/>
      <c r="V238" s="1980"/>
    </row>
    <row r="239" spans="12:22" ht="15">
      <c r="L239" s="1979"/>
      <c r="M239" s="1980"/>
      <c r="N239" s="1980"/>
      <c r="O239" s="1981"/>
      <c r="P239" s="1980"/>
      <c r="Q239" s="1980"/>
      <c r="R239" s="1980"/>
      <c r="S239" s="1980"/>
      <c r="T239" s="1980"/>
      <c r="U239" s="1980"/>
      <c r="V239" s="1980"/>
    </row>
    <row r="240" spans="12:22" ht="15">
      <c r="L240" s="1979"/>
      <c r="M240" s="1980"/>
      <c r="N240" s="1980"/>
      <c r="O240" s="1981"/>
      <c r="P240" s="1980"/>
      <c r="Q240" s="1980"/>
      <c r="R240" s="1980"/>
      <c r="S240" s="1980"/>
      <c r="T240" s="1980"/>
      <c r="U240" s="1980"/>
      <c r="V240" s="1980"/>
    </row>
    <row r="241" spans="12:22" ht="15">
      <c r="L241" s="1979"/>
      <c r="M241" s="1980"/>
      <c r="N241" s="1980"/>
      <c r="O241" s="1981"/>
      <c r="P241" s="1980"/>
      <c r="Q241" s="1980"/>
      <c r="R241" s="1980"/>
      <c r="S241" s="1980"/>
      <c r="T241" s="1980"/>
      <c r="U241" s="1980"/>
      <c r="V241" s="1980"/>
    </row>
    <row r="242" spans="12:22" ht="15">
      <c r="L242" s="1979"/>
      <c r="M242" s="1980"/>
      <c r="N242" s="1980"/>
      <c r="O242" s="1981"/>
      <c r="P242" s="1980"/>
      <c r="Q242" s="1980"/>
      <c r="R242" s="1980"/>
      <c r="S242" s="1980"/>
      <c r="T242" s="1980"/>
      <c r="U242" s="1980"/>
      <c r="V242" s="1980"/>
    </row>
    <row r="243" spans="12:22" ht="15">
      <c r="L243" s="1979"/>
      <c r="M243" s="1980"/>
      <c r="N243" s="1980"/>
      <c r="O243" s="1981"/>
      <c r="P243" s="1980"/>
      <c r="Q243" s="1980"/>
      <c r="R243" s="1980"/>
      <c r="S243" s="1980"/>
      <c r="T243" s="1980"/>
      <c r="U243" s="1980"/>
      <c r="V243" s="1980"/>
    </row>
    <row r="244" spans="12:22" ht="15">
      <c r="L244" s="1979"/>
      <c r="M244" s="1980"/>
      <c r="N244" s="1980"/>
      <c r="O244" s="1981"/>
      <c r="P244" s="1980"/>
      <c r="Q244" s="1980"/>
      <c r="R244" s="1980"/>
      <c r="S244" s="1980"/>
      <c r="T244" s="1980"/>
      <c r="U244" s="1980"/>
      <c r="V244" s="1980"/>
    </row>
    <row r="245" spans="12:22" ht="15">
      <c r="L245" s="1979"/>
      <c r="M245" s="1980"/>
      <c r="N245" s="1980"/>
      <c r="O245" s="1981"/>
      <c r="P245" s="1980"/>
      <c r="Q245" s="1980"/>
      <c r="R245" s="1980"/>
      <c r="S245" s="1980"/>
      <c r="T245" s="1980"/>
      <c r="U245" s="1980"/>
      <c r="V245" s="1980"/>
    </row>
    <row r="246" spans="12:22" ht="15">
      <c r="L246" s="1979"/>
      <c r="M246" s="1980"/>
      <c r="N246" s="1980"/>
      <c r="O246" s="1981"/>
      <c r="P246" s="1980"/>
      <c r="Q246" s="1980"/>
      <c r="R246" s="1980"/>
      <c r="S246" s="1980"/>
      <c r="T246" s="1980"/>
      <c r="U246" s="1980"/>
      <c r="V246" s="1980"/>
    </row>
    <row r="247" spans="12:22" ht="15">
      <c r="L247" s="1979"/>
      <c r="M247" s="1980"/>
      <c r="N247" s="1980"/>
      <c r="O247" s="1981"/>
      <c r="P247" s="1980"/>
      <c r="Q247" s="1980"/>
      <c r="R247" s="1980"/>
      <c r="S247" s="1980"/>
      <c r="T247" s="1980"/>
      <c r="U247" s="1980"/>
      <c r="V247" s="1980"/>
    </row>
    <row r="248" spans="12:22" ht="15">
      <c r="L248" s="1979"/>
      <c r="M248" s="1980"/>
      <c r="N248" s="1980"/>
      <c r="O248" s="1981"/>
      <c r="P248" s="1980"/>
      <c r="Q248" s="1980"/>
      <c r="R248" s="1980"/>
      <c r="S248" s="1980"/>
      <c r="T248" s="1980"/>
      <c r="U248" s="1980"/>
      <c r="V248" s="1980"/>
    </row>
    <row r="249" spans="12:22" ht="15">
      <c r="L249" s="1979"/>
      <c r="M249" s="1980"/>
      <c r="N249" s="1980"/>
      <c r="O249" s="1981"/>
      <c r="P249" s="1980"/>
      <c r="Q249" s="1980"/>
      <c r="R249" s="1980"/>
      <c r="S249" s="1980"/>
      <c r="T249" s="1980"/>
      <c r="U249" s="1980"/>
      <c r="V249" s="1980"/>
    </row>
    <row r="250" spans="12:22" ht="15">
      <c r="L250" s="1979"/>
      <c r="M250" s="1980"/>
      <c r="N250" s="1980"/>
      <c r="O250" s="1981"/>
      <c r="P250" s="1980"/>
      <c r="Q250" s="1980"/>
      <c r="R250" s="1980"/>
      <c r="S250" s="1980"/>
      <c r="T250" s="1980"/>
      <c r="U250" s="1980"/>
      <c r="V250" s="1980"/>
    </row>
    <row r="251" spans="12:22" ht="15">
      <c r="L251" s="1979"/>
      <c r="M251" s="1980"/>
      <c r="N251" s="1980"/>
      <c r="O251" s="1981"/>
      <c r="P251" s="1980"/>
      <c r="Q251" s="1980"/>
      <c r="R251" s="1980"/>
      <c r="S251" s="1980"/>
      <c r="T251" s="1980"/>
      <c r="U251" s="1980"/>
      <c r="V251" s="1980"/>
    </row>
    <row r="252" spans="12:22" ht="15">
      <c r="L252" s="1979"/>
      <c r="M252" s="1980"/>
      <c r="N252" s="1980"/>
      <c r="O252" s="1981"/>
      <c r="P252" s="1980"/>
      <c r="Q252" s="1980"/>
      <c r="R252" s="1980"/>
      <c r="S252" s="1980"/>
      <c r="T252" s="1980"/>
      <c r="U252" s="1980"/>
      <c r="V252" s="1980"/>
    </row>
    <row r="253" spans="12:22" ht="15">
      <c r="L253" s="1979"/>
      <c r="M253" s="1980"/>
      <c r="N253" s="1980"/>
      <c r="O253" s="1981"/>
      <c r="P253" s="1980"/>
      <c r="Q253" s="1980"/>
      <c r="R253" s="1980"/>
      <c r="S253" s="1980"/>
      <c r="T253" s="1980"/>
      <c r="U253" s="1980"/>
      <c r="V253" s="1980"/>
    </row>
    <row r="254" spans="12:22" ht="15">
      <c r="L254" s="1979"/>
      <c r="M254" s="1980"/>
      <c r="N254" s="1980"/>
      <c r="O254" s="1981"/>
      <c r="P254" s="1980"/>
      <c r="Q254" s="1980"/>
      <c r="R254" s="1980"/>
      <c r="S254" s="1980"/>
      <c r="T254" s="1980"/>
      <c r="U254" s="1980"/>
      <c r="V254" s="1980"/>
    </row>
    <row r="255" spans="12:22" ht="15">
      <c r="L255" s="1979"/>
      <c r="M255" s="1980"/>
      <c r="N255" s="1980"/>
      <c r="O255" s="1981"/>
      <c r="P255" s="1980"/>
      <c r="Q255" s="1980"/>
      <c r="R255" s="1980"/>
      <c r="S255" s="1980"/>
      <c r="T255" s="1980"/>
      <c r="U255" s="1980"/>
      <c r="V255" s="1980"/>
    </row>
    <row r="256" spans="12:22" ht="15">
      <c r="L256" s="1979"/>
      <c r="M256" s="1980"/>
      <c r="N256" s="1980"/>
      <c r="O256" s="1981"/>
      <c r="P256" s="1980"/>
      <c r="Q256" s="1980"/>
      <c r="R256" s="1980"/>
      <c r="S256" s="1980"/>
      <c r="T256" s="1980"/>
      <c r="U256" s="1980"/>
      <c r="V256" s="1980"/>
    </row>
    <row r="257" spans="12:22" ht="15">
      <c r="L257" s="1979"/>
      <c r="M257" s="1980"/>
      <c r="N257" s="1980"/>
      <c r="O257" s="1981"/>
      <c r="P257" s="1980"/>
      <c r="Q257" s="1980"/>
      <c r="R257" s="1980"/>
      <c r="S257" s="1980"/>
      <c r="T257" s="1980"/>
      <c r="U257" s="1980"/>
      <c r="V257" s="1980"/>
    </row>
    <row r="258" spans="12:22" ht="15">
      <c r="L258" s="1979"/>
      <c r="M258" s="1980"/>
      <c r="N258" s="1980"/>
      <c r="O258" s="1981"/>
      <c r="P258" s="1980"/>
      <c r="Q258" s="1980"/>
      <c r="R258" s="1980"/>
      <c r="S258" s="1980"/>
      <c r="T258" s="1980"/>
      <c r="U258" s="1980"/>
      <c r="V258" s="1980"/>
    </row>
    <row r="259" spans="12:22" ht="15">
      <c r="L259" s="1979"/>
      <c r="M259" s="1980"/>
      <c r="N259" s="1980"/>
      <c r="O259" s="1981"/>
      <c r="P259" s="1980"/>
      <c r="Q259" s="1980"/>
      <c r="R259" s="1980"/>
      <c r="S259" s="1980"/>
      <c r="T259" s="1980"/>
      <c r="U259" s="1980"/>
      <c r="V259" s="1980"/>
    </row>
    <row r="260" spans="12:22" ht="15">
      <c r="L260" s="1979"/>
      <c r="M260" s="1980"/>
      <c r="N260" s="1980"/>
      <c r="O260" s="1981"/>
      <c r="P260" s="1980"/>
      <c r="Q260" s="1980"/>
      <c r="R260" s="1980"/>
      <c r="S260" s="1980"/>
      <c r="T260" s="1980"/>
      <c r="U260" s="1980"/>
      <c r="V260" s="1980"/>
    </row>
    <row r="261" spans="12:22" ht="15">
      <c r="L261" s="1979"/>
      <c r="M261" s="1980"/>
      <c r="N261" s="1980"/>
      <c r="O261" s="1981"/>
      <c r="P261" s="1980"/>
      <c r="Q261" s="1980"/>
      <c r="R261" s="1980"/>
      <c r="S261" s="1980"/>
      <c r="T261" s="1980"/>
      <c r="U261" s="1980"/>
      <c r="V261" s="1980"/>
    </row>
    <row r="262" spans="12:22" ht="15">
      <c r="L262" s="1979"/>
      <c r="M262" s="1980"/>
      <c r="N262" s="1980"/>
      <c r="O262" s="1981"/>
      <c r="P262" s="1980"/>
      <c r="Q262" s="1980"/>
      <c r="R262" s="1980"/>
      <c r="S262" s="1980"/>
      <c r="T262" s="1980"/>
      <c r="U262" s="1980"/>
      <c r="V262" s="1980"/>
    </row>
    <row r="263" spans="12:22" ht="15">
      <c r="L263" s="1979"/>
      <c r="M263" s="1980"/>
      <c r="N263" s="1980"/>
      <c r="O263" s="1981"/>
      <c r="P263" s="1980"/>
      <c r="Q263" s="1980"/>
      <c r="R263" s="1980"/>
      <c r="S263" s="1980"/>
      <c r="T263" s="1980"/>
      <c r="U263" s="1980"/>
      <c r="V263" s="1980"/>
    </row>
    <row r="264" spans="12:22" ht="15">
      <c r="L264" s="1979"/>
      <c r="M264" s="1980"/>
      <c r="N264" s="1980"/>
      <c r="O264" s="1981"/>
      <c r="P264" s="1980"/>
      <c r="Q264" s="1980"/>
      <c r="R264" s="1980"/>
      <c r="S264" s="1980"/>
      <c r="T264" s="1980"/>
      <c r="U264" s="1980"/>
      <c r="V264" s="1980"/>
    </row>
    <row r="265" spans="12:22" ht="15">
      <c r="L265" s="1979"/>
      <c r="M265" s="1980"/>
      <c r="N265" s="1980"/>
      <c r="O265" s="1981"/>
      <c r="P265" s="1980"/>
      <c r="Q265" s="1980"/>
      <c r="R265" s="1980"/>
      <c r="S265" s="1980"/>
      <c r="T265" s="1980"/>
      <c r="U265" s="1980"/>
      <c r="V265" s="1980"/>
    </row>
    <row r="266" spans="12:22" ht="15">
      <c r="L266" s="1979"/>
      <c r="M266" s="1980"/>
      <c r="N266" s="1980"/>
      <c r="O266" s="1981"/>
      <c r="P266" s="1980"/>
      <c r="Q266" s="1980"/>
      <c r="R266" s="1980"/>
      <c r="S266" s="1980"/>
      <c r="T266" s="1980"/>
      <c r="U266" s="1980"/>
      <c r="V266" s="1980"/>
    </row>
    <row r="267" spans="12:22" ht="15">
      <c r="L267" s="1979"/>
      <c r="M267" s="1980"/>
      <c r="N267" s="1980"/>
      <c r="O267" s="1981"/>
      <c r="P267" s="1980"/>
      <c r="Q267" s="1980"/>
      <c r="R267" s="1980"/>
      <c r="S267" s="1980"/>
      <c r="T267" s="1980"/>
      <c r="U267" s="1980"/>
      <c r="V267" s="1980"/>
    </row>
    <row r="268" spans="12:22" ht="15">
      <c r="L268" s="1979"/>
      <c r="M268" s="1980"/>
      <c r="N268" s="1980"/>
      <c r="O268" s="1981"/>
      <c r="P268" s="1980"/>
      <c r="Q268" s="1980"/>
      <c r="R268" s="1980"/>
      <c r="S268" s="1980"/>
      <c r="T268" s="1980"/>
      <c r="U268" s="1980"/>
      <c r="V268" s="1980"/>
    </row>
    <row r="269" spans="12:22" ht="15">
      <c r="L269" s="1979"/>
      <c r="M269" s="1980"/>
      <c r="N269" s="1980"/>
      <c r="O269" s="1981"/>
      <c r="P269" s="1980"/>
      <c r="Q269" s="1980"/>
      <c r="R269" s="1980"/>
      <c r="S269" s="1980"/>
      <c r="T269" s="1980"/>
      <c r="U269" s="1980"/>
      <c r="V269" s="1980"/>
    </row>
    <row r="270" spans="12:22" ht="15">
      <c r="L270" s="1979"/>
      <c r="M270" s="1980"/>
      <c r="N270" s="1980"/>
      <c r="O270" s="1981"/>
      <c r="P270" s="1980"/>
      <c r="Q270" s="1980"/>
      <c r="R270" s="1980"/>
      <c r="S270" s="1980"/>
      <c r="T270" s="1980"/>
      <c r="U270" s="1980"/>
      <c r="V270" s="1980"/>
    </row>
    <row r="271" spans="12:22" ht="15">
      <c r="L271" s="1979"/>
      <c r="M271" s="1980"/>
      <c r="N271" s="1980"/>
      <c r="O271" s="1981"/>
      <c r="P271" s="1980"/>
      <c r="Q271" s="1980"/>
      <c r="R271" s="1980"/>
      <c r="S271" s="1980"/>
      <c r="T271" s="1980"/>
      <c r="U271" s="1980"/>
      <c r="V271" s="1980"/>
    </row>
    <row r="272" spans="12:22" ht="15">
      <c r="L272" s="1979"/>
      <c r="M272" s="1980"/>
      <c r="N272" s="1980"/>
      <c r="O272" s="1981"/>
      <c r="P272" s="1980"/>
      <c r="Q272" s="1980"/>
      <c r="R272" s="1980"/>
      <c r="S272" s="1980"/>
      <c r="T272" s="1980"/>
      <c r="U272" s="1980"/>
      <c r="V272" s="1980"/>
    </row>
    <row r="273" spans="12:22" ht="15">
      <c r="L273" s="1979"/>
      <c r="M273" s="1980"/>
      <c r="N273" s="1980"/>
      <c r="O273" s="1981"/>
      <c r="P273" s="1980"/>
      <c r="Q273" s="1980"/>
      <c r="R273" s="1980"/>
      <c r="S273" s="1980"/>
      <c r="T273" s="1980"/>
      <c r="U273" s="1980"/>
      <c r="V273" s="1980"/>
    </row>
    <row r="274" spans="12:22" ht="15">
      <c r="L274" s="1979"/>
      <c r="M274" s="1980"/>
      <c r="N274" s="1980"/>
      <c r="O274" s="1981"/>
      <c r="P274" s="1980"/>
      <c r="Q274" s="1980"/>
      <c r="R274" s="1980"/>
      <c r="S274" s="1980"/>
      <c r="T274" s="1980"/>
      <c r="U274" s="1980"/>
      <c r="V274" s="1980"/>
    </row>
    <row r="275" spans="12:22" ht="15">
      <c r="L275" s="1979"/>
      <c r="M275" s="1980"/>
      <c r="N275" s="1980"/>
      <c r="O275" s="1981"/>
      <c r="P275" s="1980"/>
      <c r="Q275" s="1980"/>
      <c r="R275" s="1980"/>
      <c r="S275" s="1980"/>
      <c r="T275" s="1980"/>
      <c r="U275" s="1980"/>
      <c r="V275" s="1980"/>
    </row>
    <row r="276" spans="12:22" ht="15">
      <c r="L276" s="1979"/>
      <c r="M276" s="1980"/>
      <c r="N276" s="1980"/>
      <c r="O276" s="1981"/>
      <c r="P276" s="1980"/>
      <c r="Q276" s="1980"/>
      <c r="R276" s="1980"/>
      <c r="S276" s="1980"/>
      <c r="T276" s="1980"/>
      <c r="U276" s="1980"/>
      <c r="V276" s="1980"/>
    </row>
    <row r="277" spans="12:22" ht="15">
      <c r="L277" s="1979"/>
      <c r="M277" s="1980"/>
      <c r="N277" s="1980"/>
      <c r="O277" s="1981"/>
      <c r="P277" s="1980"/>
      <c r="Q277" s="1980"/>
      <c r="R277" s="1980"/>
      <c r="S277" s="1980"/>
      <c r="T277" s="1980"/>
      <c r="U277" s="1980"/>
      <c r="V277" s="1980"/>
    </row>
    <row r="278" spans="12:22" ht="15">
      <c r="L278" s="1979"/>
      <c r="M278" s="1980"/>
      <c r="N278" s="1980"/>
      <c r="O278" s="1981"/>
      <c r="P278" s="1980"/>
      <c r="Q278" s="1980"/>
      <c r="R278" s="1980"/>
      <c r="S278" s="1980"/>
      <c r="T278" s="1980"/>
      <c r="U278" s="1980"/>
      <c r="V278" s="1980"/>
    </row>
    <row r="279" spans="12:22" ht="15">
      <c r="L279" s="1979"/>
      <c r="M279" s="1980"/>
      <c r="N279" s="1980"/>
      <c r="O279" s="1981"/>
      <c r="P279" s="1980"/>
      <c r="Q279" s="1980"/>
      <c r="R279" s="1980"/>
      <c r="S279" s="1980"/>
      <c r="T279" s="1980"/>
      <c r="U279" s="1980"/>
      <c r="V279" s="1980"/>
    </row>
    <row r="280" spans="12:22" ht="15">
      <c r="L280" s="1979"/>
      <c r="M280" s="1980"/>
      <c r="N280" s="1980"/>
      <c r="O280" s="1981"/>
      <c r="P280" s="1980"/>
      <c r="Q280" s="1980"/>
      <c r="R280" s="1980"/>
      <c r="S280" s="1980"/>
      <c r="T280" s="1980"/>
      <c r="U280" s="1980"/>
      <c r="V280" s="1980"/>
    </row>
    <row r="281" spans="12:22" ht="15">
      <c r="L281" s="1979"/>
      <c r="M281" s="1980"/>
      <c r="N281" s="1980"/>
      <c r="O281" s="1981"/>
      <c r="P281" s="1980"/>
      <c r="Q281" s="1980"/>
      <c r="R281" s="1980"/>
      <c r="S281" s="1980"/>
      <c r="T281" s="1980"/>
      <c r="U281" s="1980"/>
      <c r="V281" s="1980"/>
    </row>
    <row r="282" spans="12:22" ht="15">
      <c r="L282" s="1979"/>
      <c r="M282" s="1980"/>
      <c r="N282" s="1980"/>
      <c r="O282" s="1981"/>
      <c r="P282" s="1980"/>
      <c r="Q282" s="1980"/>
      <c r="R282" s="1980"/>
      <c r="S282" s="1980"/>
      <c r="T282" s="1980"/>
      <c r="U282" s="1980"/>
      <c r="V282" s="1980"/>
    </row>
    <row r="283" spans="12:22" ht="15">
      <c r="L283" s="1979"/>
      <c r="M283" s="1980"/>
      <c r="N283" s="1980"/>
      <c r="O283" s="1981"/>
      <c r="P283" s="1980"/>
      <c r="Q283" s="1980"/>
      <c r="R283" s="1980"/>
      <c r="S283" s="1980"/>
      <c r="T283" s="1980"/>
      <c r="U283" s="1980"/>
      <c r="V283" s="1980"/>
    </row>
    <row r="284" spans="12:22" ht="15">
      <c r="L284" s="1979"/>
      <c r="M284" s="1980"/>
      <c r="N284" s="1980"/>
      <c r="O284" s="1981"/>
      <c r="P284" s="1980"/>
      <c r="Q284" s="1980"/>
      <c r="R284" s="1980"/>
      <c r="S284" s="1980"/>
      <c r="T284" s="1980"/>
      <c r="U284" s="1980"/>
      <c r="V284" s="1980"/>
    </row>
    <row r="285" spans="12:22" ht="15">
      <c r="L285" s="1979"/>
      <c r="M285" s="1980"/>
      <c r="N285" s="1980"/>
      <c r="O285" s="1981"/>
      <c r="P285" s="1980"/>
      <c r="Q285" s="1980"/>
      <c r="R285" s="1980"/>
      <c r="S285" s="1980"/>
      <c r="T285" s="1980"/>
      <c r="U285" s="1980"/>
      <c r="V285" s="1980"/>
    </row>
    <row r="286" spans="12:22" ht="15">
      <c r="L286" s="1979"/>
      <c r="M286" s="1980"/>
      <c r="N286" s="1980"/>
      <c r="O286" s="1981"/>
      <c r="P286" s="1980"/>
      <c r="Q286" s="1980"/>
      <c r="R286" s="1980"/>
      <c r="S286" s="1980"/>
      <c r="T286" s="1980"/>
      <c r="U286" s="1980"/>
      <c r="V286" s="1980"/>
    </row>
    <row r="287" spans="12:22" ht="15">
      <c r="L287" s="1979"/>
      <c r="M287" s="1980"/>
      <c r="N287" s="1980"/>
      <c r="O287" s="1981"/>
      <c r="P287" s="1980"/>
      <c r="Q287" s="1980"/>
      <c r="R287" s="1980"/>
      <c r="S287" s="1980"/>
      <c r="T287" s="1980"/>
      <c r="U287" s="1980"/>
      <c r="V287" s="1980"/>
    </row>
    <row r="288" spans="12:22" ht="15">
      <c r="L288" s="1979"/>
      <c r="M288" s="1980"/>
      <c r="N288" s="1980"/>
      <c r="O288" s="1981"/>
      <c r="P288" s="1980"/>
      <c r="Q288" s="1980"/>
      <c r="R288" s="1980"/>
      <c r="S288" s="1980"/>
      <c r="T288" s="1980"/>
      <c r="U288" s="1980"/>
      <c r="V288" s="1980"/>
    </row>
    <row r="289" spans="12:22" ht="15">
      <c r="L289" s="1979"/>
      <c r="M289" s="1980"/>
      <c r="N289" s="1980"/>
      <c r="O289" s="1981"/>
      <c r="P289" s="1980"/>
      <c r="Q289" s="1980"/>
      <c r="R289" s="1980"/>
      <c r="S289" s="1980"/>
      <c r="T289" s="1980"/>
      <c r="U289" s="1980"/>
      <c r="V289" s="1980"/>
    </row>
    <row r="290" spans="12:22" ht="15">
      <c r="L290" s="1979"/>
      <c r="M290" s="1980"/>
      <c r="N290" s="1980"/>
      <c r="O290" s="1981"/>
      <c r="P290" s="1980"/>
      <c r="Q290" s="1980"/>
      <c r="R290" s="1980"/>
      <c r="S290" s="1980"/>
      <c r="T290" s="1980"/>
      <c r="U290" s="1980"/>
      <c r="V290" s="1980"/>
    </row>
    <row r="291" spans="12:22" ht="15">
      <c r="L291" s="1979"/>
      <c r="M291" s="1980"/>
      <c r="N291" s="1980"/>
      <c r="O291" s="1981"/>
      <c r="P291" s="1980"/>
      <c r="Q291" s="1980"/>
      <c r="R291" s="1980"/>
      <c r="S291" s="1980"/>
      <c r="T291" s="1980"/>
      <c r="U291" s="1980"/>
      <c r="V291" s="1980"/>
    </row>
    <row r="292" spans="12:22" ht="15">
      <c r="L292" s="1979"/>
      <c r="M292" s="1980"/>
      <c r="N292" s="1980"/>
      <c r="O292" s="1981"/>
      <c r="P292" s="1980"/>
      <c r="Q292" s="1980"/>
      <c r="R292" s="1980"/>
      <c r="S292" s="1980"/>
      <c r="T292" s="1980"/>
      <c r="U292" s="1980"/>
      <c r="V292" s="1980"/>
    </row>
    <row r="293" spans="12:22" ht="15">
      <c r="L293" s="1979"/>
      <c r="M293" s="1980"/>
      <c r="N293" s="1980"/>
      <c r="O293" s="1981"/>
      <c r="P293" s="1980"/>
      <c r="Q293" s="1980"/>
      <c r="R293" s="1980"/>
      <c r="S293" s="1980"/>
      <c r="T293" s="1980"/>
      <c r="U293" s="1980"/>
      <c r="V293" s="1980"/>
    </row>
    <row r="294" spans="12:22" ht="15">
      <c r="L294" s="1979"/>
      <c r="M294" s="1980"/>
      <c r="N294" s="1980"/>
      <c r="O294" s="1981"/>
      <c r="P294" s="1980"/>
      <c r="Q294" s="1980"/>
      <c r="R294" s="1980"/>
      <c r="S294" s="1980"/>
      <c r="T294" s="1980"/>
      <c r="U294" s="1980"/>
      <c r="V294" s="1980"/>
    </row>
    <row r="295" spans="12:22" ht="15">
      <c r="L295" s="1979"/>
      <c r="M295" s="1980"/>
      <c r="N295" s="1980"/>
      <c r="O295" s="1981"/>
      <c r="P295" s="1980"/>
      <c r="Q295" s="1980"/>
      <c r="R295" s="1980"/>
      <c r="S295" s="1980"/>
      <c r="T295" s="1980"/>
      <c r="U295" s="1980"/>
      <c r="V295" s="1980"/>
    </row>
    <row r="296" spans="12:22" ht="15">
      <c r="L296" s="1979"/>
      <c r="M296" s="1980"/>
      <c r="N296" s="1980"/>
      <c r="O296" s="1981"/>
      <c r="P296" s="1980"/>
      <c r="Q296" s="1980"/>
      <c r="R296" s="1980"/>
      <c r="S296" s="1980"/>
      <c r="T296" s="1980"/>
      <c r="U296" s="1980"/>
      <c r="V296" s="1980"/>
    </row>
    <row r="297" spans="12:22" ht="15">
      <c r="L297" s="1979"/>
      <c r="M297" s="1980"/>
      <c r="N297" s="1980"/>
      <c r="O297" s="1981"/>
      <c r="P297" s="1980"/>
      <c r="Q297" s="1980"/>
      <c r="R297" s="1980"/>
      <c r="S297" s="1980"/>
      <c r="T297" s="1980"/>
      <c r="U297" s="1980"/>
      <c r="V297" s="1980"/>
    </row>
    <row r="298" spans="12:22" ht="15">
      <c r="L298" s="1979"/>
      <c r="M298" s="1980"/>
      <c r="N298" s="1980"/>
      <c r="O298" s="1981"/>
      <c r="P298" s="1980"/>
      <c r="Q298" s="1980"/>
      <c r="R298" s="1980"/>
      <c r="S298" s="1980"/>
      <c r="T298" s="1980"/>
      <c r="U298" s="1980"/>
      <c r="V298" s="1980"/>
    </row>
    <row r="299" spans="12:22" ht="15">
      <c r="L299" s="1979"/>
      <c r="M299" s="1980"/>
      <c r="N299" s="1980"/>
      <c r="O299" s="1981"/>
      <c r="P299" s="1980"/>
      <c r="Q299" s="1980"/>
      <c r="R299" s="1980"/>
      <c r="S299" s="1980"/>
      <c r="T299" s="1980"/>
      <c r="U299" s="1980"/>
      <c r="V299" s="1980"/>
    </row>
    <row r="300" spans="12:22" ht="15">
      <c r="L300" s="1979"/>
      <c r="M300" s="1980"/>
      <c r="N300" s="1980"/>
      <c r="O300" s="1981"/>
      <c r="P300" s="1980"/>
      <c r="Q300" s="1980"/>
      <c r="R300" s="1980"/>
      <c r="S300" s="1980"/>
      <c r="T300" s="1980"/>
      <c r="U300" s="1980"/>
      <c r="V300" s="1980"/>
    </row>
    <row r="301" spans="12:22" ht="15">
      <c r="L301" s="1979"/>
      <c r="M301" s="1980"/>
      <c r="N301" s="1980"/>
      <c r="O301" s="1981"/>
      <c r="P301" s="1980"/>
      <c r="Q301" s="1980"/>
      <c r="R301" s="1980"/>
      <c r="S301" s="1980"/>
      <c r="T301" s="1980"/>
      <c r="U301" s="1980"/>
      <c r="V301" s="1980"/>
    </row>
    <row r="302" spans="12:22" ht="15">
      <c r="L302" s="1979"/>
      <c r="M302" s="1980"/>
      <c r="N302" s="1980"/>
      <c r="O302" s="1981"/>
      <c r="P302" s="1980"/>
      <c r="Q302" s="1980"/>
      <c r="R302" s="1980"/>
      <c r="S302" s="1980"/>
      <c r="T302" s="1980"/>
      <c r="U302" s="1980"/>
      <c r="V302" s="1980"/>
    </row>
    <row r="303" spans="12:22" ht="15">
      <c r="L303" s="1979"/>
      <c r="M303" s="1980"/>
      <c r="N303" s="1980"/>
      <c r="O303" s="1981"/>
      <c r="P303" s="1980"/>
      <c r="Q303" s="1980"/>
      <c r="R303" s="1980"/>
      <c r="S303" s="1980"/>
      <c r="T303" s="1980"/>
      <c r="U303" s="1980"/>
      <c r="V303" s="1980"/>
    </row>
    <row r="304" spans="12:22" ht="15">
      <c r="L304" s="1979"/>
      <c r="M304" s="1980"/>
      <c r="N304" s="1980"/>
      <c r="O304" s="1981"/>
      <c r="P304" s="1980"/>
      <c r="Q304" s="1980"/>
      <c r="R304" s="1980"/>
      <c r="S304" s="1980"/>
      <c r="T304" s="1980"/>
      <c r="U304" s="1980"/>
      <c r="V304" s="1980"/>
    </row>
    <row r="305" spans="12:22" ht="15">
      <c r="L305" s="1979"/>
      <c r="M305" s="1980"/>
      <c r="N305" s="1980"/>
      <c r="O305" s="1981"/>
      <c r="P305" s="1980"/>
      <c r="Q305" s="1980"/>
      <c r="R305" s="1980"/>
      <c r="S305" s="1980"/>
      <c r="T305" s="1980"/>
      <c r="U305" s="1980"/>
      <c r="V305" s="1980"/>
    </row>
    <row r="306" spans="12:22" ht="15">
      <c r="L306" s="1979"/>
      <c r="M306" s="1980"/>
      <c r="N306" s="1980"/>
      <c r="O306" s="1981"/>
      <c r="P306" s="1980"/>
      <c r="Q306" s="1980"/>
      <c r="R306" s="1980"/>
      <c r="S306" s="1980"/>
      <c r="T306" s="1980"/>
      <c r="U306" s="1980"/>
      <c r="V306" s="1980"/>
    </row>
    <row r="307" spans="12:22" ht="15">
      <c r="L307" s="1979"/>
      <c r="M307" s="1980"/>
      <c r="N307" s="1980"/>
      <c r="O307" s="1981"/>
      <c r="P307" s="1980"/>
      <c r="Q307" s="1980"/>
      <c r="R307" s="1980"/>
      <c r="S307" s="1980"/>
      <c r="T307" s="1980"/>
      <c r="U307" s="1980"/>
      <c r="V307" s="1980"/>
    </row>
    <row r="308" spans="12:22" ht="15">
      <c r="L308" s="1979"/>
      <c r="M308" s="1980"/>
      <c r="N308" s="1980"/>
      <c r="O308" s="1981"/>
      <c r="P308" s="1980"/>
      <c r="Q308" s="1980"/>
      <c r="R308" s="1980"/>
      <c r="S308" s="1980"/>
      <c r="T308" s="1980"/>
      <c r="U308" s="1980"/>
      <c r="V308" s="1980"/>
    </row>
    <row r="309" spans="12:22" ht="15">
      <c r="L309" s="1979"/>
      <c r="M309" s="1980"/>
      <c r="N309" s="1980"/>
      <c r="O309" s="1981"/>
      <c r="P309" s="1980"/>
      <c r="Q309" s="1980"/>
      <c r="R309" s="1980"/>
      <c r="S309" s="1980"/>
      <c r="T309" s="1980"/>
      <c r="U309" s="1980"/>
      <c r="V309" s="1980"/>
    </row>
    <row r="310" spans="12:22" ht="15">
      <c r="L310" s="1979"/>
      <c r="M310" s="1980"/>
      <c r="N310" s="1980"/>
      <c r="O310" s="1981"/>
      <c r="P310" s="1980"/>
      <c r="Q310" s="1980"/>
      <c r="R310" s="1980"/>
      <c r="S310" s="1980"/>
      <c r="T310" s="1980"/>
      <c r="U310" s="1980"/>
      <c r="V310" s="1980"/>
    </row>
    <row r="311" spans="12:22" ht="15">
      <c r="L311" s="1979"/>
      <c r="M311" s="1980"/>
      <c r="N311" s="1980"/>
      <c r="O311" s="1981"/>
      <c r="P311" s="1980"/>
      <c r="Q311" s="1980"/>
      <c r="R311" s="1980"/>
      <c r="S311" s="1980"/>
      <c r="T311" s="1980"/>
      <c r="U311" s="1980"/>
      <c r="V311" s="1980"/>
    </row>
    <row r="312" spans="12:22" ht="15">
      <c r="L312" s="1979"/>
      <c r="M312" s="1980"/>
      <c r="N312" s="1980"/>
      <c r="O312" s="1981"/>
      <c r="P312" s="1980"/>
      <c r="Q312" s="1980"/>
      <c r="R312" s="1980"/>
      <c r="S312" s="1980"/>
      <c r="T312" s="1980"/>
      <c r="U312" s="1980"/>
      <c r="V312" s="1980"/>
    </row>
    <row r="313" spans="12:22" ht="15">
      <c r="L313" s="1979"/>
      <c r="M313" s="1980"/>
      <c r="N313" s="1980"/>
      <c r="O313" s="1981"/>
      <c r="P313" s="1980"/>
      <c r="Q313" s="1980"/>
      <c r="R313" s="1980"/>
      <c r="S313" s="1980"/>
      <c r="T313" s="1980"/>
      <c r="U313" s="1980"/>
      <c r="V313" s="1980"/>
    </row>
    <row r="314" spans="12:22" ht="15">
      <c r="L314" s="1979"/>
      <c r="M314" s="1980"/>
      <c r="N314" s="1980"/>
      <c r="O314" s="1981"/>
      <c r="P314" s="1980"/>
      <c r="Q314" s="1980"/>
      <c r="R314" s="1980"/>
      <c r="S314" s="1980"/>
      <c r="T314" s="1980"/>
      <c r="U314" s="1980"/>
      <c r="V314" s="1980"/>
    </row>
    <row r="315" spans="12:22" ht="15">
      <c r="L315" s="1979"/>
      <c r="M315" s="1980"/>
      <c r="N315" s="1980"/>
      <c r="O315" s="1981"/>
      <c r="P315" s="1980"/>
      <c r="Q315" s="1980"/>
      <c r="R315" s="1980"/>
      <c r="S315" s="1980"/>
      <c r="T315" s="1980"/>
      <c r="U315" s="1980"/>
      <c r="V315" s="1980"/>
    </row>
    <row r="316" spans="12:22" ht="15">
      <c r="L316" s="1979"/>
      <c r="M316" s="1980"/>
      <c r="N316" s="1980"/>
      <c r="O316" s="1981"/>
      <c r="P316" s="1980"/>
      <c r="Q316" s="1980"/>
      <c r="R316" s="1980"/>
      <c r="S316" s="1980"/>
      <c r="T316" s="1980"/>
      <c r="U316" s="1980"/>
      <c r="V316" s="1980"/>
    </row>
    <row r="317" spans="12:22" ht="15">
      <c r="L317" s="1979"/>
      <c r="M317" s="1980"/>
      <c r="N317" s="1980"/>
      <c r="O317" s="1981"/>
      <c r="P317" s="1980"/>
      <c r="Q317" s="1980"/>
      <c r="R317" s="1980"/>
      <c r="S317" s="1980"/>
      <c r="T317" s="1980"/>
      <c r="U317" s="1980"/>
      <c r="V317" s="1980"/>
    </row>
    <row r="318" spans="12:22" ht="15">
      <c r="L318" s="1979"/>
      <c r="M318" s="1980"/>
      <c r="N318" s="1980"/>
      <c r="O318" s="1981"/>
      <c r="P318" s="1980"/>
      <c r="Q318" s="1980"/>
      <c r="R318" s="1980"/>
      <c r="S318" s="1980"/>
      <c r="T318" s="1980"/>
      <c r="U318" s="1980"/>
      <c r="V318" s="1980"/>
    </row>
    <row r="319" spans="12:22" ht="15">
      <c r="L319" s="1979"/>
      <c r="M319" s="1980"/>
      <c r="N319" s="1980"/>
      <c r="O319" s="1981"/>
      <c r="P319" s="1980"/>
      <c r="Q319" s="1980"/>
      <c r="R319" s="1980"/>
      <c r="S319" s="1980"/>
      <c r="T319" s="1980"/>
      <c r="U319" s="1980"/>
      <c r="V319" s="1980"/>
    </row>
    <row r="320" spans="12:22" ht="15">
      <c r="L320" s="1979"/>
      <c r="M320" s="1980"/>
      <c r="N320" s="1980"/>
      <c r="O320" s="1981"/>
      <c r="P320" s="1980"/>
      <c r="Q320" s="1980"/>
      <c r="R320" s="1980"/>
      <c r="S320" s="1980"/>
      <c r="T320" s="1980"/>
      <c r="U320" s="1980"/>
      <c r="V320" s="1980"/>
    </row>
    <row r="321" spans="12:22" ht="15">
      <c r="L321" s="1979"/>
      <c r="M321" s="1980"/>
      <c r="N321" s="1980"/>
      <c r="O321" s="1981"/>
      <c r="P321" s="1980"/>
      <c r="Q321" s="1980"/>
      <c r="R321" s="1980"/>
      <c r="S321" s="1980"/>
      <c r="T321" s="1980"/>
      <c r="U321" s="1980"/>
      <c r="V321" s="1980"/>
    </row>
    <row r="322" spans="12:22" ht="15">
      <c r="L322" s="1979"/>
      <c r="M322" s="1980"/>
      <c r="N322" s="1980"/>
      <c r="O322" s="1981"/>
      <c r="P322" s="1980"/>
      <c r="Q322" s="1980"/>
      <c r="R322" s="1980"/>
      <c r="S322" s="1980"/>
      <c r="T322" s="1980"/>
      <c r="U322" s="1980"/>
      <c r="V322" s="1980"/>
    </row>
    <row r="323" spans="12:22" ht="15">
      <c r="L323" s="1979"/>
      <c r="M323" s="1980"/>
      <c r="N323" s="1980"/>
      <c r="O323" s="1981"/>
      <c r="P323" s="1980"/>
      <c r="Q323" s="1980"/>
      <c r="R323" s="1980"/>
      <c r="S323" s="1980"/>
      <c r="T323" s="1980"/>
      <c r="U323" s="1980"/>
      <c r="V323" s="1980"/>
    </row>
    <row r="324" spans="12:22" ht="15">
      <c r="L324" s="1979"/>
      <c r="M324" s="1980"/>
      <c r="N324" s="1980"/>
      <c r="O324" s="1981"/>
      <c r="P324" s="1980"/>
      <c r="Q324" s="1980"/>
      <c r="R324" s="1980"/>
      <c r="S324" s="1980"/>
      <c r="T324" s="1980"/>
      <c r="U324" s="1980"/>
      <c r="V324" s="1980"/>
    </row>
    <row r="325" spans="12:22" ht="15">
      <c r="L325" s="1979"/>
      <c r="M325" s="1980"/>
      <c r="N325" s="1980"/>
      <c r="O325" s="1981"/>
      <c r="P325" s="1980"/>
      <c r="Q325" s="1980"/>
      <c r="R325" s="1980"/>
      <c r="S325" s="1980"/>
      <c r="T325" s="1980"/>
      <c r="U325" s="1980"/>
      <c r="V325" s="1980"/>
    </row>
    <row r="326" spans="12:22" ht="15">
      <c r="L326" s="1979"/>
      <c r="M326" s="1980"/>
      <c r="N326" s="1980"/>
      <c r="O326" s="1981"/>
      <c r="P326" s="1980"/>
      <c r="Q326" s="1980"/>
      <c r="R326" s="1980"/>
      <c r="S326" s="1980"/>
      <c r="T326" s="1980"/>
      <c r="U326" s="1980"/>
      <c r="V326" s="1980"/>
    </row>
    <row r="327" spans="12:22" ht="15">
      <c r="L327" s="1979"/>
      <c r="M327" s="1980"/>
      <c r="N327" s="1980"/>
      <c r="O327" s="1981"/>
      <c r="P327" s="1980"/>
      <c r="Q327" s="1980"/>
      <c r="R327" s="1980"/>
      <c r="S327" s="1980"/>
      <c r="T327" s="1980"/>
      <c r="U327" s="1980"/>
      <c r="V327" s="1980"/>
    </row>
    <row r="328" spans="12:22" ht="15">
      <c r="L328" s="1979"/>
      <c r="M328" s="1980"/>
      <c r="N328" s="1980"/>
      <c r="O328" s="1981"/>
      <c r="P328" s="1980"/>
      <c r="Q328" s="1980"/>
      <c r="R328" s="1980"/>
      <c r="S328" s="1980"/>
      <c r="T328" s="1980"/>
      <c r="U328" s="1980"/>
      <c r="V328" s="1980"/>
    </row>
    <row r="329" spans="12:22" ht="15">
      <c r="L329" s="1979"/>
      <c r="M329" s="1980"/>
      <c r="N329" s="1980"/>
      <c r="O329" s="1981"/>
      <c r="P329" s="1980"/>
      <c r="Q329" s="1980"/>
      <c r="R329" s="1980"/>
      <c r="S329" s="1980"/>
      <c r="T329" s="1980"/>
      <c r="U329" s="1980"/>
      <c r="V329" s="1980"/>
    </row>
    <row r="330" spans="12:22" ht="15">
      <c r="L330" s="1979"/>
      <c r="M330" s="1980"/>
      <c r="N330" s="1980"/>
      <c r="O330" s="1981"/>
      <c r="P330" s="1980"/>
      <c r="Q330" s="1980"/>
      <c r="R330" s="1980"/>
      <c r="S330" s="1980"/>
      <c r="T330" s="1980"/>
      <c r="U330" s="1980"/>
      <c r="V330" s="1980"/>
    </row>
    <row r="331" spans="12:22" ht="15">
      <c r="L331" s="1979"/>
      <c r="M331" s="1980"/>
      <c r="N331" s="1980"/>
      <c r="O331" s="1981"/>
      <c r="P331" s="1980"/>
      <c r="Q331" s="1980"/>
      <c r="R331" s="1980"/>
      <c r="S331" s="1980"/>
      <c r="T331" s="1980"/>
      <c r="U331" s="1980"/>
      <c r="V331" s="1980"/>
    </row>
    <row r="332" spans="12:22" ht="15">
      <c r="L332" s="1979"/>
      <c r="M332" s="1980"/>
      <c r="N332" s="1980"/>
      <c r="O332" s="1981"/>
      <c r="P332" s="1980"/>
      <c r="Q332" s="1980"/>
      <c r="R332" s="1980"/>
      <c r="S332" s="1980"/>
      <c r="T332" s="1980"/>
      <c r="U332" s="1980"/>
      <c r="V332" s="1980"/>
    </row>
    <row r="333" spans="12:22" ht="15">
      <c r="L333" s="1979"/>
      <c r="M333" s="1980"/>
      <c r="N333" s="1980"/>
      <c r="O333" s="1981"/>
      <c r="P333" s="1980"/>
      <c r="Q333" s="1980"/>
      <c r="R333" s="1980"/>
      <c r="S333" s="1980"/>
      <c r="T333" s="1980"/>
      <c r="U333" s="1980"/>
      <c r="V333" s="1980"/>
    </row>
    <row r="334" spans="12:22" ht="15">
      <c r="L334" s="1979"/>
      <c r="M334" s="1980"/>
      <c r="N334" s="1980"/>
      <c r="O334" s="1981"/>
      <c r="P334" s="1980"/>
      <c r="Q334" s="1980"/>
      <c r="R334" s="1980"/>
      <c r="S334" s="1980"/>
      <c r="T334" s="1980"/>
      <c r="U334" s="1980"/>
      <c r="V334" s="1980"/>
    </row>
    <row r="335" spans="12:22" ht="15">
      <c r="L335" s="1979"/>
      <c r="M335" s="1980"/>
      <c r="N335" s="1980"/>
      <c r="O335" s="1981"/>
      <c r="P335" s="1980"/>
      <c r="Q335" s="1980"/>
      <c r="R335" s="1980"/>
      <c r="S335" s="1980"/>
      <c r="T335" s="1980"/>
      <c r="U335" s="1980"/>
      <c r="V335" s="1980"/>
    </row>
    <row r="336" spans="12:22" ht="15">
      <c r="L336" s="1979"/>
      <c r="M336" s="1980"/>
      <c r="N336" s="1980"/>
      <c r="O336" s="1981"/>
      <c r="P336" s="1980"/>
      <c r="Q336" s="1980"/>
      <c r="R336" s="1980"/>
      <c r="S336" s="1980"/>
      <c r="T336" s="1980"/>
      <c r="U336" s="1980"/>
      <c r="V336" s="1980"/>
    </row>
    <row r="337" spans="12:22" ht="15">
      <c r="L337" s="1979"/>
      <c r="M337" s="1980"/>
      <c r="N337" s="1980"/>
      <c r="O337" s="1981"/>
      <c r="P337" s="1980"/>
      <c r="Q337" s="1980"/>
      <c r="R337" s="1980"/>
      <c r="S337" s="1980"/>
      <c r="T337" s="1980"/>
      <c r="U337" s="1980"/>
      <c r="V337" s="1980"/>
    </row>
    <row r="338" spans="12:22" ht="15">
      <c r="L338" s="1979"/>
      <c r="M338" s="1980"/>
      <c r="N338" s="1980"/>
      <c r="O338" s="1981"/>
      <c r="P338" s="1980"/>
      <c r="Q338" s="1980"/>
      <c r="R338" s="1980"/>
      <c r="S338" s="1980"/>
      <c r="T338" s="1980"/>
      <c r="U338" s="1980"/>
      <c r="V338" s="1980"/>
    </row>
    <row r="339" spans="12:22" ht="15">
      <c r="L339" s="1979"/>
      <c r="M339" s="1980"/>
      <c r="N339" s="1980"/>
      <c r="O339" s="1981"/>
      <c r="P339" s="1980"/>
      <c r="Q339" s="1980"/>
      <c r="R339" s="1980"/>
      <c r="S339" s="1980"/>
      <c r="T339" s="1980"/>
      <c r="U339" s="1980"/>
      <c r="V339" s="1980"/>
    </row>
    <row r="340" spans="12:22" ht="15">
      <c r="L340" s="1979"/>
      <c r="M340" s="1980"/>
      <c r="N340" s="1980"/>
      <c r="O340" s="1981"/>
      <c r="P340" s="1980"/>
      <c r="Q340" s="1980"/>
      <c r="R340" s="1980"/>
      <c r="S340" s="1980"/>
      <c r="T340" s="1980"/>
      <c r="U340" s="1980"/>
      <c r="V340" s="1980"/>
    </row>
    <row r="341" spans="12:22" ht="15">
      <c r="L341" s="1979"/>
      <c r="M341" s="1980"/>
      <c r="N341" s="1980"/>
      <c r="O341" s="1981"/>
      <c r="P341" s="1980"/>
      <c r="Q341" s="1980"/>
      <c r="R341" s="1980"/>
      <c r="S341" s="1980"/>
      <c r="T341" s="1980"/>
      <c r="U341" s="1980"/>
      <c r="V341" s="1980"/>
    </row>
    <row r="342" spans="12:22" ht="15">
      <c r="L342" s="1979"/>
      <c r="M342" s="1980"/>
      <c r="N342" s="1980"/>
      <c r="O342" s="1981"/>
      <c r="P342" s="1980"/>
      <c r="Q342" s="1980"/>
      <c r="R342" s="1980"/>
      <c r="S342" s="1980"/>
      <c r="T342" s="1980"/>
      <c r="U342" s="1980"/>
      <c r="V342" s="1980"/>
    </row>
    <row r="343" spans="12:22" ht="15">
      <c r="L343" s="1979"/>
      <c r="M343" s="1980"/>
      <c r="N343" s="1980"/>
      <c r="O343" s="1981"/>
      <c r="P343" s="1980"/>
      <c r="Q343" s="1980"/>
      <c r="R343" s="1980"/>
      <c r="S343" s="1980"/>
      <c r="T343" s="1980"/>
      <c r="U343" s="1980"/>
      <c r="V343" s="1980"/>
    </row>
    <row r="344" spans="12:22" ht="15">
      <c r="L344" s="1979"/>
      <c r="M344" s="1980"/>
      <c r="N344" s="1980"/>
      <c r="O344" s="1981"/>
      <c r="P344" s="1980"/>
      <c r="Q344" s="1980"/>
      <c r="R344" s="1980"/>
      <c r="S344" s="1980"/>
      <c r="T344" s="1980"/>
      <c r="U344" s="1980"/>
      <c r="V344" s="1980"/>
    </row>
    <row r="345" spans="12:22" ht="15">
      <c r="L345" s="1979"/>
      <c r="M345" s="1980"/>
      <c r="N345" s="1980"/>
      <c r="O345" s="1981"/>
      <c r="P345" s="1980"/>
      <c r="Q345" s="1980"/>
      <c r="R345" s="1980"/>
      <c r="S345" s="1980"/>
      <c r="T345" s="1980"/>
      <c r="U345" s="1980"/>
      <c r="V345" s="1980"/>
    </row>
    <row r="346" spans="12:22" ht="15">
      <c r="L346" s="1979"/>
      <c r="M346" s="1980"/>
      <c r="N346" s="1980"/>
      <c r="O346" s="1981"/>
      <c r="P346" s="1980"/>
      <c r="Q346" s="1980"/>
      <c r="R346" s="1980"/>
      <c r="S346" s="1980"/>
      <c r="T346" s="1980"/>
      <c r="U346" s="1980"/>
      <c r="V346" s="1980"/>
    </row>
    <row r="347" spans="12:22" ht="15">
      <c r="L347" s="1979"/>
      <c r="M347" s="1980"/>
      <c r="N347" s="1980"/>
      <c r="O347" s="1981"/>
      <c r="P347" s="1980"/>
      <c r="Q347" s="1980"/>
      <c r="R347" s="1980"/>
      <c r="S347" s="1980"/>
      <c r="T347" s="1980"/>
      <c r="U347" s="1980"/>
      <c r="V347" s="1980"/>
    </row>
    <row r="348" spans="12:22" ht="15">
      <c r="L348" s="1979"/>
      <c r="M348" s="1980"/>
      <c r="N348" s="1980"/>
      <c r="O348" s="1981"/>
      <c r="P348" s="1980"/>
      <c r="Q348" s="1980"/>
      <c r="R348" s="1980"/>
      <c r="S348" s="1980"/>
      <c r="T348" s="1980"/>
      <c r="U348" s="1980"/>
      <c r="V348" s="1980"/>
    </row>
    <row r="349" spans="12:22" ht="15">
      <c r="L349" s="1979"/>
      <c r="M349" s="1980"/>
      <c r="N349" s="1980"/>
      <c r="O349" s="1981"/>
      <c r="P349" s="1980"/>
      <c r="Q349" s="1980"/>
      <c r="R349" s="1980"/>
      <c r="S349" s="1980"/>
      <c r="T349" s="1980"/>
      <c r="U349" s="1980"/>
      <c r="V349" s="1980"/>
    </row>
    <row r="350" spans="12:22" ht="15">
      <c r="L350" s="1979"/>
      <c r="M350" s="1980"/>
      <c r="N350" s="1980"/>
      <c r="O350" s="1981"/>
      <c r="P350" s="1980"/>
      <c r="Q350" s="1980"/>
      <c r="R350" s="1980"/>
      <c r="S350" s="1980"/>
      <c r="T350" s="1980"/>
      <c r="U350" s="1980"/>
      <c r="V350" s="1980"/>
    </row>
    <row r="351" spans="12:22" ht="15">
      <c r="L351" s="1979"/>
      <c r="M351" s="1980"/>
      <c r="N351" s="1980"/>
      <c r="O351" s="1981"/>
      <c r="P351" s="1980"/>
      <c r="Q351" s="1980"/>
      <c r="R351" s="1980"/>
      <c r="S351" s="1980"/>
      <c r="T351" s="1980"/>
      <c r="U351" s="1980"/>
      <c r="V351" s="1980"/>
    </row>
    <row r="352" spans="12:22" ht="15">
      <c r="L352" s="1979"/>
      <c r="M352" s="1980"/>
      <c r="N352" s="1980"/>
      <c r="O352" s="1981"/>
      <c r="P352" s="1980"/>
      <c r="Q352" s="1980"/>
      <c r="R352" s="1980"/>
      <c r="S352" s="1980"/>
      <c r="T352" s="1980"/>
      <c r="U352" s="1980"/>
      <c r="V352" s="1980"/>
    </row>
    <row r="353" spans="12:22" ht="15">
      <c r="L353" s="1979"/>
      <c r="M353" s="1980"/>
      <c r="N353" s="1980"/>
      <c r="O353" s="1981"/>
      <c r="P353" s="1980"/>
      <c r="Q353" s="1980"/>
      <c r="R353" s="1980"/>
      <c r="S353" s="1980"/>
      <c r="T353" s="1980"/>
      <c r="U353" s="1980"/>
      <c r="V353" s="1980"/>
    </row>
    <row r="354" spans="12:22" ht="15">
      <c r="L354" s="1979"/>
      <c r="M354" s="1980"/>
      <c r="N354" s="1980"/>
      <c r="O354" s="1981"/>
      <c r="P354" s="1980"/>
      <c r="Q354" s="1980"/>
      <c r="R354" s="1980"/>
      <c r="S354" s="1980"/>
      <c r="T354" s="1980"/>
      <c r="U354" s="1980"/>
      <c r="V354" s="1980"/>
    </row>
    <row r="355" spans="12:22" ht="15">
      <c r="L355" s="1979"/>
      <c r="M355" s="1980"/>
      <c r="N355" s="1980"/>
      <c r="O355" s="1981"/>
      <c r="P355" s="1980"/>
      <c r="Q355" s="1980"/>
      <c r="R355" s="1980"/>
      <c r="S355" s="1980"/>
      <c r="T355" s="1980"/>
      <c r="U355" s="1980"/>
      <c r="V355" s="1980"/>
    </row>
    <row r="356" spans="12:22" ht="15">
      <c r="L356" s="1979"/>
      <c r="M356" s="1980"/>
      <c r="N356" s="1980"/>
      <c r="O356" s="1981"/>
      <c r="P356" s="1980"/>
      <c r="Q356" s="1980"/>
      <c r="R356" s="1980"/>
      <c r="S356" s="1980"/>
      <c r="T356" s="1980"/>
      <c r="U356" s="1980"/>
      <c r="V356" s="1980"/>
    </row>
    <row r="357" spans="12:22" ht="15">
      <c r="L357" s="1979"/>
      <c r="M357" s="1980"/>
      <c r="N357" s="1980"/>
      <c r="O357" s="1981"/>
      <c r="P357" s="1980"/>
      <c r="Q357" s="1980"/>
      <c r="R357" s="1980"/>
      <c r="S357" s="1980"/>
      <c r="T357" s="1980"/>
      <c r="U357" s="1980"/>
      <c r="V357" s="1980"/>
    </row>
    <row r="358" spans="12:22" ht="15">
      <c r="L358" s="1979"/>
      <c r="M358" s="1980"/>
      <c r="N358" s="1980"/>
      <c r="O358" s="1981"/>
      <c r="P358" s="1980"/>
      <c r="Q358" s="1980"/>
      <c r="R358" s="1980"/>
      <c r="S358" s="1980"/>
      <c r="T358" s="1980"/>
      <c r="U358" s="1980"/>
      <c r="V358" s="1980"/>
    </row>
    <row r="359" spans="12:22" ht="15">
      <c r="L359" s="1979"/>
      <c r="M359" s="1980"/>
      <c r="N359" s="1980"/>
      <c r="O359" s="1981"/>
      <c r="P359" s="1980"/>
      <c r="Q359" s="1980"/>
      <c r="R359" s="1980"/>
      <c r="S359" s="1980"/>
      <c r="T359" s="1980"/>
      <c r="U359" s="1980"/>
      <c r="V359" s="1980"/>
    </row>
    <row r="360" spans="12:22" ht="15">
      <c r="L360" s="1979"/>
      <c r="M360" s="1980"/>
      <c r="N360" s="1980"/>
      <c r="O360" s="1981"/>
      <c r="P360" s="1980"/>
      <c r="Q360" s="1980"/>
      <c r="R360" s="1980"/>
      <c r="S360" s="1980"/>
      <c r="T360" s="1980"/>
      <c r="U360" s="1980"/>
      <c r="V360" s="1980"/>
    </row>
    <row r="361" spans="12:22" ht="15">
      <c r="L361" s="1979"/>
      <c r="M361" s="1980"/>
      <c r="N361" s="1980"/>
      <c r="O361" s="1981"/>
      <c r="P361" s="1980"/>
      <c r="Q361" s="1980"/>
      <c r="R361" s="1980"/>
      <c r="S361" s="1980"/>
      <c r="T361" s="1980"/>
      <c r="U361" s="1980"/>
      <c r="V361" s="1980"/>
    </row>
    <row r="362" spans="12:22" ht="15">
      <c r="L362" s="1979"/>
      <c r="M362" s="1980"/>
      <c r="N362" s="1980"/>
      <c r="O362" s="1981"/>
      <c r="P362" s="1980"/>
      <c r="Q362" s="1980"/>
      <c r="R362" s="1980"/>
      <c r="S362" s="1980"/>
      <c r="T362" s="1980"/>
      <c r="U362" s="1980"/>
      <c r="V362" s="1980"/>
    </row>
    <row r="363" spans="12:22" ht="15">
      <c r="L363" s="1979"/>
      <c r="M363" s="1980"/>
      <c r="N363" s="1980"/>
      <c r="O363" s="1981"/>
      <c r="P363" s="1980"/>
      <c r="Q363" s="1980"/>
      <c r="R363" s="1980"/>
      <c r="S363" s="1980"/>
      <c r="T363" s="1980"/>
      <c r="U363" s="1980"/>
      <c r="V363" s="1980"/>
    </row>
    <row r="364" spans="12:22" ht="15">
      <c r="L364" s="1979"/>
      <c r="M364" s="1980"/>
      <c r="N364" s="1980"/>
      <c r="O364" s="1981"/>
      <c r="P364" s="1980"/>
      <c r="Q364" s="1980"/>
      <c r="R364" s="1980"/>
      <c r="S364" s="1980"/>
      <c r="T364" s="1980"/>
      <c r="U364" s="1980"/>
      <c r="V364" s="1980"/>
    </row>
    <row r="365" spans="12:22" ht="15">
      <c r="L365" s="1979"/>
      <c r="M365" s="1980"/>
      <c r="N365" s="1980"/>
      <c r="O365" s="1981"/>
      <c r="P365" s="1980"/>
      <c r="Q365" s="1980"/>
      <c r="R365" s="1980"/>
      <c r="S365" s="1980"/>
      <c r="T365" s="1980"/>
      <c r="U365" s="1980"/>
      <c r="V365" s="1980"/>
    </row>
    <row r="366" spans="12:22" ht="15">
      <c r="L366" s="1979"/>
      <c r="M366" s="1980"/>
      <c r="N366" s="1980"/>
      <c r="O366" s="1981"/>
      <c r="P366" s="1980"/>
      <c r="Q366" s="1980"/>
      <c r="R366" s="1980"/>
      <c r="S366" s="1980"/>
      <c r="T366" s="1980"/>
      <c r="U366" s="1980"/>
      <c r="V366" s="1980"/>
    </row>
    <row r="367" spans="12:22" ht="15">
      <c r="L367" s="1979"/>
      <c r="M367" s="1980"/>
      <c r="N367" s="1980"/>
      <c r="O367" s="1981"/>
      <c r="P367" s="1980"/>
      <c r="Q367" s="1980"/>
      <c r="R367" s="1980"/>
      <c r="S367" s="1980"/>
      <c r="T367" s="1980"/>
      <c r="U367" s="1980"/>
      <c r="V367" s="1980"/>
    </row>
    <row r="368" spans="12:22" ht="15">
      <c r="L368" s="1979"/>
      <c r="M368" s="1980"/>
      <c r="N368" s="1980"/>
      <c r="O368" s="1981"/>
      <c r="P368" s="1980"/>
      <c r="Q368" s="1980"/>
      <c r="R368" s="1980"/>
      <c r="S368" s="1980"/>
      <c r="T368" s="1980"/>
      <c r="U368" s="1980"/>
      <c r="V368" s="1980"/>
    </row>
    <row r="369" spans="12:22" ht="15">
      <c r="L369" s="1979"/>
      <c r="M369" s="1980"/>
      <c r="N369" s="1980"/>
      <c r="O369" s="1981"/>
      <c r="P369" s="1980"/>
      <c r="Q369" s="1980"/>
      <c r="R369" s="1980"/>
      <c r="S369" s="1980"/>
      <c r="T369" s="1980"/>
      <c r="U369" s="1980"/>
      <c r="V369" s="1980"/>
    </row>
    <row r="370" spans="12:22" ht="15">
      <c r="L370" s="1979"/>
      <c r="M370" s="1980"/>
      <c r="N370" s="1980"/>
      <c r="O370" s="1981"/>
      <c r="P370" s="1980"/>
      <c r="Q370" s="1980"/>
      <c r="R370" s="1980"/>
      <c r="S370" s="1980"/>
      <c r="T370" s="1980"/>
      <c r="U370" s="1980"/>
      <c r="V370" s="1980"/>
    </row>
    <row r="371" spans="12:22" ht="15">
      <c r="L371" s="1979"/>
      <c r="M371" s="1980"/>
      <c r="N371" s="1980"/>
      <c r="O371" s="1981"/>
      <c r="P371" s="1980"/>
      <c r="Q371" s="1980"/>
      <c r="R371" s="1980"/>
      <c r="S371" s="1980"/>
      <c r="T371" s="1980"/>
      <c r="U371" s="1980"/>
      <c r="V371" s="1980"/>
    </row>
    <row r="372" spans="12:22" ht="15">
      <c r="L372" s="1979"/>
      <c r="M372" s="1980"/>
      <c r="N372" s="1980"/>
      <c r="O372" s="1981"/>
      <c r="P372" s="1980"/>
      <c r="Q372" s="1980"/>
      <c r="R372" s="1980"/>
      <c r="S372" s="1980"/>
      <c r="T372" s="1980"/>
      <c r="U372" s="1980"/>
      <c r="V372" s="1980"/>
    </row>
    <row r="373" spans="12:22" ht="15">
      <c r="L373" s="1979"/>
      <c r="M373" s="1980"/>
      <c r="N373" s="1980"/>
      <c r="O373" s="1981"/>
      <c r="P373" s="1980"/>
      <c r="Q373" s="1980"/>
      <c r="R373" s="1980"/>
      <c r="S373" s="1980"/>
      <c r="T373" s="1980"/>
      <c r="U373" s="1980"/>
      <c r="V373" s="1980"/>
    </row>
    <row r="374" spans="12:22" ht="15">
      <c r="L374" s="1979"/>
      <c r="M374" s="1980"/>
      <c r="N374" s="1980"/>
      <c r="O374" s="1981"/>
      <c r="P374" s="1980"/>
      <c r="Q374" s="1980"/>
      <c r="R374" s="1980"/>
      <c r="S374" s="1980"/>
      <c r="T374" s="1980"/>
      <c r="U374" s="1980"/>
      <c r="V374" s="1980"/>
    </row>
    <row r="375" spans="12:22" ht="15">
      <c r="L375" s="1979"/>
      <c r="M375" s="1980"/>
      <c r="N375" s="1980"/>
      <c r="O375" s="1981"/>
      <c r="P375" s="1980"/>
      <c r="Q375" s="1980"/>
      <c r="R375" s="1980"/>
      <c r="S375" s="1980"/>
      <c r="T375" s="1980"/>
      <c r="U375" s="1980"/>
      <c r="V375" s="1980"/>
    </row>
    <row r="376" spans="12:22" ht="15">
      <c r="L376" s="1979"/>
      <c r="M376" s="1980"/>
      <c r="N376" s="1980"/>
      <c r="O376" s="1981"/>
      <c r="P376" s="1980"/>
      <c r="Q376" s="1980"/>
      <c r="R376" s="1980"/>
      <c r="S376" s="1980"/>
      <c r="T376" s="1980"/>
      <c r="U376" s="1980"/>
      <c r="V376" s="1980"/>
    </row>
    <row r="377" spans="12:22" ht="15">
      <c r="L377" s="1979"/>
      <c r="M377" s="1980"/>
      <c r="N377" s="1980"/>
      <c r="O377" s="1981"/>
      <c r="P377" s="1980"/>
      <c r="Q377" s="1980"/>
      <c r="R377" s="1980"/>
      <c r="S377" s="1980"/>
      <c r="T377" s="1980"/>
      <c r="U377" s="1980"/>
      <c r="V377" s="1980"/>
    </row>
    <row r="378" spans="12:22" ht="15">
      <c r="L378" s="1979"/>
      <c r="M378" s="1980"/>
      <c r="N378" s="1980"/>
      <c r="O378" s="1981"/>
      <c r="P378" s="1980"/>
      <c r="Q378" s="1980"/>
      <c r="R378" s="1980"/>
      <c r="S378" s="1980"/>
      <c r="T378" s="1980"/>
      <c r="U378" s="1980"/>
      <c r="V378" s="1980"/>
    </row>
    <row r="379" spans="12:22" ht="15">
      <c r="L379" s="1979"/>
      <c r="M379" s="1980"/>
      <c r="N379" s="1980"/>
      <c r="O379" s="1981"/>
      <c r="P379" s="1980"/>
      <c r="Q379" s="1980"/>
      <c r="R379" s="1980"/>
      <c r="S379" s="1980"/>
      <c r="T379" s="1980"/>
      <c r="U379" s="1980"/>
      <c r="V379" s="1980"/>
    </row>
    <row r="380" spans="12:22" ht="15">
      <c r="L380" s="1979"/>
      <c r="M380" s="1980"/>
      <c r="N380" s="1980"/>
      <c r="O380" s="1981"/>
      <c r="P380" s="1980"/>
      <c r="Q380" s="1980"/>
      <c r="R380" s="1980"/>
      <c r="S380" s="1980"/>
      <c r="T380" s="1980"/>
      <c r="U380" s="1980"/>
      <c r="V380" s="1980"/>
    </row>
    <row r="381" spans="12:22" ht="15">
      <c r="L381" s="1979"/>
      <c r="M381" s="1980"/>
      <c r="N381" s="1980"/>
      <c r="O381" s="1981"/>
      <c r="P381" s="1980"/>
      <c r="Q381" s="1980"/>
      <c r="R381" s="1980"/>
      <c r="S381" s="1980"/>
      <c r="T381" s="1980"/>
      <c r="U381" s="1980"/>
      <c r="V381" s="1980"/>
    </row>
    <row r="382" spans="12:22" ht="15">
      <c r="L382" s="1979"/>
      <c r="M382" s="1980"/>
      <c r="N382" s="1980"/>
      <c r="O382" s="1981"/>
      <c r="P382" s="1980"/>
      <c r="Q382" s="1980"/>
      <c r="R382" s="1980"/>
      <c r="S382" s="1980"/>
      <c r="T382" s="1980"/>
      <c r="U382" s="1980"/>
      <c r="V382" s="1980"/>
    </row>
    <row r="383" spans="12:22" ht="15">
      <c r="L383" s="1979"/>
      <c r="M383" s="1980"/>
      <c r="N383" s="1980"/>
      <c r="O383" s="1981"/>
      <c r="P383" s="1980"/>
      <c r="Q383" s="1980"/>
      <c r="R383" s="1980"/>
      <c r="S383" s="1980"/>
      <c r="T383" s="1980"/>
      <c r="U383" s="1980"/>
      <c r="V383" s="1980"/>
    </row>
    <row r="384" spans="12:22" ht="15">
      <c r="L384" s="1979"/>
      <c r="M384" s="1980"/>
      <c r="N384" s="1980"/>
      <c r="O384" s="1981"/>
      <c r="P384" s="1980"/>
      <c r="Q384" s="1980"/>
      <c r="R384" s="1980"/>
      <c r="S384" s="1980"/>
      <c r="T384" s="1980"/>
      <c r="U384" s="1980"/>
      <c r="V384" s="1980"/>
    </row>
    <row r="385" spans="12:22" ht="15">
      <c r="L385" s="1979"/>
      <c r="M385" s="1980"/>
      <c r="N385" s="1980"/>
      <c r="O385" s="1981"/>
      <c r="P385" s="1980"/>
      <c r="Q385" s="1980"/>
      <c r="R385" s="1980"/>
      <c r="S385" s="1980"/>
      <c r="T385" s="1980"/>
      <c r="U385" s="1980"/>
      <c r="V385" s="1980"/>
    </row>
    <row r="386" spans="12:22" ht="15">
      <c r="L386" s="1979"/>
      <c r="M386" s="1980"/>
      <c r="N386" s="1980"/>
      <c r="O386" s="1981"/>
      <c r="P386" s="1980"/>
      <c r="Q386" s="1980"/>
      <c r="R386" s="1980"/>
      <c r="S386" s="1980"/>
      <c r="T386" s="1980"/>
      <c r="U386" s="1980"/>
      <c r="V386" s="1980"/>
    </row>
    <row r="387" spans="12:22" ht="15">
      <c r="L387" s="1979"/>
      <c r="M387" s="1980"/>
      <c r="N387" s="1980"/>
      <c r="O387" s="1981"/>
      <c r="P387" s="1980"/>
      <c r="Q387" s="1980"/>
      <c r="R387" s="1980"/>
      <c r="S387" s="1980"/>
      <c r="T387" s="1980"/>
      <c r="U387" s="1980"/>
      <c r="V387" s="1980"/>
    </row>
    <row r="388" spans="12:22" ht="15">
      <c r="L388" s="1979"/>
      <c r="M388" s="1980"/>
      <c r="N388" s="1980"/>
      <c r="O388" s="1981"/>
      <c r="P388" s="1980"/>
      <c r="Q388" s="1980"/>
      <c r="R388" s="1980"/>
      <c r="S388" s="1980"/>
      <c r="T388" s="1980"/>
      <c r="U388" s="1980"/>
      <c r="V388" s="1980"/>
    </row>
    <row r="389" spans="12:22" ht="15">
      <c r="L389" s="1979"/>
      <c r="M389" s="1980"/>
      <c r="N389" s="1980"/>
      <c r="O389" s="1981"/>
      <c r="P389" s="1980"/>
      <c r="Q389" s="1980"/>
      <c r="R389" s="1980"/>
      <c r="S389" s="1980"/>
      <c r="T389" s="1980"/>
      <c r="U389" s="1980"/>
      <c r="V389" s="1980"/>
    </row>
    <row r="390" spans="12:22" ht="15">
      <c r="L390" s="1979"/>
      <c r="M390" s="1980"/>
      <c r="N390" s="1980"/>
      <c r="O390" s="1981"/>
      <c r="P390" s="1980"/>
      <c r="Q390" s="1980"/>
      <c r="R390" s="1980"/>
      <c r="S390" s="1980"/>
      <c r="T390" s="1980"/>
      <c r="U390" s="1980"/>
      <c r="V390" s="1980"/>
    </row>
    <row r="391" spans="12:22" ht="15">
      <c r="L391" s="1979"/>
      <c r="M391" s="1980"/>
      <c r="N391" s="1980"/>
      <c r="O391" s="1981"/>
      <c r="P391" s="1980"/>
      <c r="Q391" s="1980"/>
      <c r="R391" s="1980"/>
      <c r="S391" s="1980"/>
      <c r="T391" s="1980"/>
      <c r="U391" s="1980"/>
      <c r="V391" s="1980"/>
    </row>
    <row r="392" spans="12:22" ht="15">
      <c r="L392" s="1979"/>
      <c r="M392" s="1980"/>
      <c r="N392" s="1980"/>
      <c r="O392" s="1981"/>
      <c r="P392" s="1980"/>
      <c r="Q392" s="1980"/>
      <c r="R392" s="1980"/>
      <c r="S392" s="1980"/>
      <c r="T392" s="1980"/>
      <c r="U392" s="1980"/>
      <c r="V392" s="1980"/>
    </row>
    <row r="393" spans="12:22" ht="15">
      <c r="L393" s="1979"/>
      <c r="M393" s="1980"/>
      <c r="N393" s="1980"/>
      <c r="O393" s="1981"/>
      <c r="P393" s="1980"/>
      <c r="Q393" s="1980"/>
      <c r="R393" s="1980"/>
      <c r="S393" s="1980"/>
      <c r="T393" s="1980"/>
      <c r="U393" s="1980"/>
      <c r="V393" s="1980"/>
    </row>
    <row r="394" spans="12:22" ht="15">
      <c r="L394" s="1979"/>
      <c r="M394" s="1980"/>
      <c r="N394" s="1980"/>
      <c r="O394" s="1981"/>
      <c r="P394" s="1980"/>
      <c r="Q394" s="1980"/>
      <c r="R394" s="1980"/>
      <c r="S394" s="1980"/>
      <c r="T394" s="1980"/>
      <c r="U394" s="1980"/>
      <c r="V394" s="1980"/>
    </row>
    <row r="395" spans="12:22" ht="15">
      <c r="L395" s="1979"/>
      <c r="M395" s="1980"/>
      <c r="N395" s="1980"/>
      <c r="O395" s="1981"/>
      <c r="P395" s="1980"/>
      <c r="Q395" s="1980"/>
      <c r="R395" s="1980"/>
      <c r="S395" s="1980"/>
      <c r="T395" s="1980"/>
      <c r="U395" s="1980"/>
      <c r="V395" s="1980"/>
    </row>
    <row r="396" spans="12:22" ht="15">
      <c r="L396" s="1979"/>
      <c r="M396" s="1980"/>
      <c r="N396" s="1980"/>
      <c r="O396" s="1981"/>
      <c r="P396" s="1980"/>
      <c r="Q396" s="1980"/>
      <c r="R396" s="1980"/>
      <c r="S396" s="1980"/>
      <c r="T396" s="1980"/>
      <c r="U396" s="1980"/>
      <c r="V396" s="1980"/>
    </row>
    <row r="397" spans="12:22" ht="15">
      <c r="L397" s="1979"/>
      <c r="M397" s="1980"/>
      <c r="N397" s="1980"/>
      <c r="O397" s="1981"/>
      <c r="P397" s="1980"/>
      <c r="Q397" s="1980"/>
      <c r="R397" s="1980"/>
      <c r="S397" s="1980"/>
      <c r="T397" s="1980"/>
      <c r="U397" s="1980"/>
      <c r="V397" s="1980"/>
    </row>
    <row r="398" spans="12:22" ht="15">
      <c r="L398" s="1979"/>
      <c r="M398" s="1980"/>
      <c r="N398" s="1980"/>
      <c r="O398" s="1981"/>
      <c r="P398" s="1980"/>
      <c r="Q398" s="1980"/>
      <c r="R398" s="1980"/>
      <c r="S398" s="1980"/>
      <c r="T398" s="1980"/>
      <c r="U398" s="1980"/>
      <c r="V398" s="1980"/>
    </row>
    <row r="399" spans="12:22" ht="15">
      <c r="L399" s="1979"/>
      <c r="M399" s="1980"/>
      <c r="N399" s="1980"/>
      <c r="O399" s="1981"/>
      <c r="P399" s="1980"/>
      <c r="Q399" s="1980"/>
      <c r="R399" s="1980"/>
      <c r="S399" s="1980"/>
      <c r="T399" s="1980"/>
      <c r="U399" s="1980"/>
      <c r="V399" s="1980"/>
    </row>
    <row r="400" spans="12:22" ht="15">
      <c r="L400" s="1979"/>
      <c r="M400" s="1980"/>
      <c r="N400" s="1980"/>
      <c r="O400" s="1981"/>
      <c r="P400" s="1980"/>
      <c r="Q400" s="1980"/>
      <c r="R400" s="1980"/>
      <c r="S400" s="1980"/>
      <c r="T400" s="1980"/>
      <c r="U400" s="1980"/>
      <c r="V400" s="1980"/>
    </row>
    <row r="401" spans="12:22" ht="15">
      <c r="L401" s="1979"/>
      <c r="M401" s="1980"/>
      <c r="N401" s="1980"/>
      <c r="O401" s="1981"/>
      <c r="P401" s="1980"/>
      <c r="Q401" s="1980"/>
      <c r="R401" s="1980"/>
      <c r="S401" s="1980"/>
      <c r="T401" s="1980"/>
      <c r="U401" s="1980"/>
      <c r="V401" s="1980"/>
    </row>
    <row r="402" spans="12:22" ht="15">
      <c r="L402" s="1979"/>
      <c r="M402" s="1980"/>
      <c r="N402" s="1980"/>
      <c r="O402" s="1981"/>
      <c r="P402" s="1980"/>
      <c r="Q402" s="1980"/>
      <c r="R402" s="1980"/>
      <c r="S402" s="1980"/>
      <c r="T402" s="1980"/>
      <c r="U402" s="1980"/>
      <c r="V402" s="1980"/>
    </row>
    <row r="403" spans="12:22" ht="15">
      <c r="L403" s="1979"/>
      <c r="M403" s="1980"/>
      <c r="N403" s="1980"/>
      <c r="O403" s="1981"/>
      <c r="P403" s="1980"/>
      <c r="Q403" s="1980"/>
      <c r="R403" s="1980"/>
      <c r="S403" s="1980"/>
      <c r="T403" s="1980"/>
      <c r="U403" s="1980"/>
      <c r="V403" s="1980"/>
    </row>
    <row r="404" spans="12:22" ht="15">
      <c r="L404" s="1979"/>
      <c r="M404" s="1980"/>
      <c r="N404" s="1980"/>
      <c r="O404" s="1981"/>
      <c r="P404" s="1980"/>
      <c r="Q404" s="1980"/>
      <c r="R404" s="1980"/>
      <c r="S404" s="1980"/>
      <c r="T404" s="1980"/>
      <c r="U404" s="1980"/>
      <c r="V404" s="1980"/>
    </row>
    <row r="405" spans="12:22" ht="15">
      <c r="L405" s="1979"/>
      <c r="M405" s="1980"/>
      <c r="N405" s="1980"/>
      <c r="O405" s="1981"/>
      <c r="P405" s="1980"/>
      <c r="Q405" s="1980"/>
      <c r="R405" s="1980"/>
      <c r="S405" s="1980"/>
      <c r="T405" s="1980"/>
      <c r="U405" s="1980"/>
      <c r="V405" s="1980"/>
    </row>
    <row r="406" spans="12:22" ht="15">
      <c r="L406" s="1979"/>
      <c r="M406" s="1980"/>
      <c r="N406" s="1980"/>
      <c r="O406" s="1981"/>
      <c r="P406" s="1980"/>
      <c r="Q406" s="1980"/>
      <c r="R406" s="1980"/>
      <c r="S406" s="1980"/>
      <c r="T406" s="1980"/>
      <c r="U406" s="1980"/>
      <c r="V406" s="1980"/>
    </row>
    <row r="407" spans="12:22" ht="15">
      <c r="L407" s="1979"/>
      <c r="M407" s="1980"/>
      <c r="N407" s="1980"/>
      <c r="O407" s="1981"/>
      <c r="P407" s="1980"/>
      <c r="Q407" s="1980"/>
      <c r="R407" s="1980"/>
      <c r="S407" s="1980"/>
      <c r="T407" s="1980"/>
      <c r="U407" s="1980"/>
      <c r="V407" s="1980"/>
    </row>
    <row r="408" spans="12:22" ht="15">
      <c r="L408" s="1979"/>
      <c r="M408" s="1980"/>
      <c r="N408" s="1980"/>
      <c r="O408" s="1981"/>
      <c r="P408" s="1980"/>
      <c r="Q408" s="1980"/>
      <c r="R408" s="1980"/>
      <c r="S408" s="1980"/>
      <c r="T408" s="1980"/>
      <c r="U408" s="1980"/>
      <c r="V408" s="1980"/>
    </row>
    <row r="409" spans="12:22" ht="15">
      <c r="L409" s="1979"/>
      <c r="M409" s="1980"/>
      <c r="N409" s="1980"/>
      <c r="O409" s="1981"/>
      <c r="P409" s="1980"/>
      <c r="Q409" s="1980"/>
      <c r="R409" s="1980"/>
      <c r="S409" s="1980"/>
      <c r="T409" s="1980"/>
      <c r="U409" s="1980"/>
      <c r="V409" s="1980"/>
    </row>
    <row r="410" spans="12:22" ht="15">
      <c r="L410" s="1979"/>
      <c r="M410" s="1980"/>
      <c r="N410" s="1980"/>
      <c r="O410" s="1981"/>
      <c r="P410" s="1980"/>
      <c r="Q410" s="1980"/>
      <c r="R410" s="1980"/>
      <c r="S410" s="1980"/>
      <c r="T410" s="1980"/>
      <c r="U410" s="1980"/>
      <c r="V410" s="1980"/>
    </row>
    <row r="411" spans="12:22" ht="15">
      <c r="L411" s="1979"/>
      <c r="M411" s="1980"/>
      <c r="N411" s="1980"/>
      <c r="O411" s="1981"/>
      <c r="P411" s="1980"/>
      <c r="Q411" s="1980"/>
      <c r="R411" s="1980"/>
      <c r="S411" s="1980"/>
      <c r="T411" s="1980"/>
      <c r="U411" s="1980"/>
      <c r="V411" s="1980"/>
    </row>
    <row r="412" spans="12:22" ht="15">
      <c r="L412" s="1979"/>
      <c r="M412" s="1980"/>
      <c r="N412" s="1980"/>
      <c r="O412" s="1981"/>
      <c r="P412" s="1980"/>
      <c r="Q412" s="1980"/>
      <c r="R412" s="1980"/>
      <c r="S412" s="1980"/>
      <c r="T412" s="1980"/>
      <c r="U412" s="1980"/>
      <c r="V412" s="1980"/>
    </row>
    <row r="413" spans="12:22" ht="15">
      <c r="L413" s="1979"/>
      <c r="M413" s="1980"/>
      <c r="N413" s="1980"/>
      <c r="O413" s="1981"/>
      <c r="P413" s="1980"/>
      <c r="Q413" s="1980"/>
      <c r="R413" s="1980"/>
      <c r="S413" s="1980"/>
      <c r="T413" s="1980"/>
      <c r="U413" s="1980"/>
      <c r="V413" s="1980"/>
    </row>
    <row r="414" spans="12:22" ht="15">
      <c r="L414" s="1979"/>
      <c r="M414" s="1980"/>
      <c r="N414" s="1980"/>
      <c r="O414" s="1981"/>
      <c r="P414" s="1980"/>
      <c r="Q414" s="1980"/>
      <c r="R414" s="1980"/>
      <c r="S414" s="1980"/>
      <c r="T414" s="1980"/>
      <c r="U414" s="1980"/>
      <c r="V414" s="1980"/>
    </row>
    <row r="415" spans="12:22" ht="15">
      <c r="L415" s="1979"/>
      <c r="M415" s="1980"/>
      <c r="N415" s="1980"/>
      <c r="O415" s="1981"/>
      <c r="P415" s="1980"/>
      <c r="Q415" s="1980"/>
      <c r="R415" s="1980"/>
      <c r="S415" s="1980"/>
      <c r="T415" s="1980"/>
      <c r="U415" s="1980"/>
      <c r="V415" s="1980"/>
    </row>
    <row r="416" spans="12:22" ht="15">
      <c r="L416" s="1979"/>
      <c r="M416" s="1980"/>
      <c r="N416" s="1980"/>
      <c r="O416" s="1981"/>
      <c r="P416" s="1980"/>
      <c r="Q416" s="1980"/>
      <c r="R416" s="1980"/>
      <c r="S416" s="1980"/>
      <c r="T416" s="1980"/>
      <c r="U416" s="1980"/>
      <c r="V416" s="1980"/>
    </row>
    <row r="417" spans="12:22" ht="15">
      <c r="L417" s="1979"/>
      <c r="M417" s="1980"/>
      <c r="N417" s="1980"/>
      <c r="O417" s="1981"/>
      <c r="P417" s="1980"/>
      <c r="Q417" s="1980"/>
      <c r="R417" s="1980"/>
      <c r="S417" s="1980"/>
      <c r="T417" s="1980"/>
      <c r="U417" s="1980"/>
      <c r="V417" s="1980"/>
    </row>
    <row r="418" spans="12:22" ht="15">
      <c r="L418" s="1979"/>
      <c r="M418" s="1980"/>
      <c r="N418" s="1980"/>
      <c r="O418" s="1981"/>
      <c r="P418" s="1980"/>
      <c r="Q418" s="1980"/>
      <c r="R418" s="1980"/>
      <c r="S418" s="1980"/>
      <c r="T418" s="1980"/>
      <c r="U418" s="1980"/>
      <c r="V418" s="1980"/>
    </row>
    <row r="419" spans="12:22" ht="15">
      <c r="L419" s="1979"/>
      <c r="M419" s="1980"/>
      <c r="N419" s="1980"/>
      <c r="O419" s="1981"/>
      <c r="P419" s="1980"/>
      <c r="Q419" s="1980"/>
      <c r="R419" s="1980"/>
      <c r="S419" s="1980"/>
      <c r="T419" s="1980"/>
      <c r="U419" s="1980"/>
      <c r="V419" s="1980"/>
    </row>
    <row r="420" spans="12:22" ht="15">
      <c r="L420" s="1979"/>
      <c r="M420" s="1980"/>
      <c r="N420" s="1980"/>
      <c r="O420" s="1981"/>
      <c r="P420" s="1980"/>
      <c r="Q420" s="1980"/>
      <c r="R420" s="1980"/>
      <c r="S420" s="1980"/>
      <c r="T420" s="1980"/>
      <c r="U420" s="1980"/>
      <c r="V420" s="1980"/>
    </row>
    <row r="421" spans="12:22" ht="15">
      <c r="L421" s="1979"/>
      <c r="M421" s="1980"/>
      <c r="N421" s="1980"/>
      <c r="O421" s="1981"/>
      <c r="P421" s="1980"/>
      <c r="Q421" s="1980"/>
      <c r="R421" s="1980"/>
      <c r="S421" s="1980"/>
      <c r="T421" s="1980"/>
      <c r="U421" s="1980"/>
      <c r="V421" s="1980"/>
    </row>
    <row r="422" spans="12:22" ht="15">
      <c r="L422" s="1979"/>
      <c r="M422" s="1980"/>
      <c r="N422" s="1980"/>
      <c r="O422" s="1981"/>
      <c r="P422" s="1980"/>
      <c r="Q422" s="1980"/>
      <c r="R422" s="1980"/>
      <c r="S422" s="1980"/>
      <c r="T422" s="1980"/>
      <c r="U422" s="1980"/>
      <c r="V422" s="1980"/>
    </row>
    <row r="423" spans="12:22" ht="15">
      <c r="L423" s="1979"/>
      <c r="M423" s="1980"/>
      <c r="N423" s="1980"/>
      <c r="O423" s="1981"/>
      <c r="P423" s="1980"/>
      <c r="Q423" s="1980"/>
      <c r="R423" s="1980"/>
      <c r="S423" s="1980"/>
      <c r="T423" s="1980"/>
      <c r="U423" s="1980"/>
      <c r="V423" s="1980"/>
    </row>
    <row r="424" spans="12:22" ht="15">
      <c r="L424" s="1979"/>
      <c r="M424" s="1980"/>
      <c r="N424" s="1980"/>
      <c r="O424" s="1981"/>
      <c r="P424" s="1980"/>
      <c r="Q424" s="1980"/>
      <c r="R424" s="1980"/>
      <c r="S424" s="1980"/>
      <c r="T424" s="1980"/>
      <c r="U424" s="1980"/>
      <c r="V424" s="1980"/>
    </row>
    <row r="425" spans="12:22" ht="15">
      <c r="L425" s="1979"/>
      <c r="M425" s="1980"/>
      <c r="N425" s="1980"/>
      <c r="O425" s="1981"/>
      <c r="P425" s="1980"/>
      <c r="Q425" s="1980"/>
      <c r="R425" s="1980"/>
      <c r="S425" s="1980"/>
      <c r="T425" s="1980"/>
      <c r="U425" s="1980"/>
      <c r="V425" s="1980"/>
    </row>
    <row r="426" spans="12:22" ht="15">
      <c r="L426" s="1979"/>
      <c r="M426" s="1980"/>
      <c r="N426" s="1980"/>
      <c r="O426" s="1981"/>
      <c r="P426" s="1980"/>
      <c r="Q426" s="1980"/>
      <c r="R426" s="1980"/>
      <c r="S426" s="1980"/>
      <c r="T426" s="1980"/>
      <c r="U426" s="1980"/>
      <c r="V426" s="1980"/>
    </row>
    <row r="427" spans="12:22" ht="15">
      <c r="L427" s="1979"/>
      <c r="M427" s="1980"/>
      <c r="N427" s="1980"/>
      <c r="O427" s="1981"/>
      <c r="P427" s="1980"/>
      <c r="Q427" s="1980"/>
      <c r="R427" s="1980"/>
      <c r="S427" s="1980"/>
      <c r="T427" s="1980"/>
      <c r="U427" s="1980"/>
      <c r="V427" s="1980"/>
    </row>
    <row r="428" spans="12:22" ht="15">
      <c r="L428" s="1979"/>
      <c r="M428" s="1980"/>
      <c r="N428" s="1980"/>
      <c r="O428" s="1981"/>
      <c r="P428" s="1980"/>
      <c r="Q428" s="1980"/>
      <c r="R428" s="1980"/>
      <c r="S428" s="1980"/>
      <c r="T428" s="1980"/>
      <c r="U428" s="1980"/>
      <c r="V428" s="1980"/>
    </row>
    <row r="429" spans="12:22" ht="15">
      <c r="L429" s="1979"/>
      <c r="M429" s="1980"/>
      <c r="N429" s="1980"/>
      <c r="O429" s="1981"/>
      <c r="P429" s="1980"/>
      <c r="Q429" s="1980"/>
      <c r="R429" s="1980"/>
      <c r="S429" s="1980"/>
      <c r="T429" s="1980"/>
      <c r="U429" s="1980"/>
      <c r="V429" s="1980"/>
    </row>
    <row r="430" spans="12:22" ht="15">
      <c r="L430" s="1979"/>
      <c r="M430" s="1980"/>
      <c r="N430" s="1980"/>
      <c r="O430" s="1981"/>
      <c r="P430" s="1980"/>
      <c r="Q430" s="1980"/>
      <c r="R430" s="1980"/>
      <c r="S430" s="1980"/>
      <c r="T430" s="1980"/>
      <c r="U430" s="1980"/>
      <c r="V430" s="1980"/>
    </row>
    <row r="431" spans="12:22" ht="15">
      <c r="L431" s="1979"/>
      <c r="M431" s="1980"/>
      <c r="N431" s="1980"/>
      <c r="O431" s="1981"/>
      <c r="P431" s="1980"/>
      <c r="Q431" s="1980"/>
      <c r="R431" s="1980"/>
      <c r="S431" s="1980"/>
      <c r="T431" s="1980"/>
      <c r="U431" s="1980"/>
      <c r="V431" s="1980"/>
    </row>
    <row r="432" spans="12:22" ht="15">
      <c r="L432" s="1979"/>
      <c r="M432" s="1980"/>
      <c r="N432" s="1980"/>
      <c r="O432" s="1981"/>
      <c r="P432" s="1980"/>
      <c r="Q432" s="1980"/>
      <c r="R432" s="1980"/>
      <c r="S432" s="1980"/>
      <c r="T432" s="1980"/>
      <c r="U432" s="1980"/>
      <c r="V432" s="1980"/>
    </row>
    <row r="433" spans="12:22" ht="15">
      <c r="L433" s="1979"/>
      <c r="M433" s="1980"/>
      <c r="N433" s="1980"/>
      <c r="O433" s="1981"/>
      <c r="P433" s="1980"/>
      <c r="Q433" s="1980"/>
      <c r="R433" s="1980"/>
      <c r="S433" s="1980"/>
      <c r="T433" s="1980"/>
      <c r="U433" s="1980"/>
      <c r="V433" s="1980"/>
    </row>
    <row r="434" spans="12:22" ht="15">
      <c r="L434" s="1979"/>
      <c r="M434" s="1980"/>
      <c r="N434" s="1980"/>
      <c r="O434" s="1981"/>
      <c r="P434" s="1980"/>
      <c r="Q434" s="1980"/>
      <c r="R434" s="1980"/>
      <c r="S434" s="1980"/>
      <c r="T434" s="1980"/>
      <c r="U434" s="1980"/>
      <c r="V434" s="1980"/>
    </row>
    <row r="435" spans="12:22" ht="15">
      <c r="L435" s="1979"/>
      <c r="M435" s="1980"/>
      <c r="N435" s="1980"/>
      <c r="O435" s="1981"/>
      <c r="P435" s="1980"/>
      <c r="Q435" s="1980"/>
      <c r="R435" s="1980"/>
      <c r="S435" s="1980"/>
      <c r="T435" s="1980"/>
      <c r="U435" s="1980"/>
      <c r="V435" s="1980"/>
    </row>
    <row r="436" spans="12:22" ht="15">
      <c r="L436" s="1979"/>
      <c r="M436" s="1980"/>
      <c r="N436" s="1980"/>
      <c r="O436" s="1981"/>
      <c r="P436" s="1980"/>
      <c r="Q436" s="1980"/>
      <c r="R436" s="1980"/>
      <c r="S436" s="1980"/>
      <c r="T436" s="1980"/>
      <c r="U436" s="1980"/>
      <c r="V436" s="1980"/>
    </row>
    <row r="437" spans="12:22" ht="15">
      <c r="L437" s="1979"/>
      <c r="M437" s="1980"/>
      <c r="N437" s="1980"/>
      <c r="O437" s="1981"/>
      <c r="P437" s="1980"/>
      <c r="Q437" s="1980"/>
      <c r="R437" s="1980"/>
      <c r="S437" s="1980"/>
      <c r="T437" s="1980"/>
      <c r="U437" s="1980"/>
      <c r="V437" s="1980"/>
    </row>
    <row r="438" spans="12:22" ht="15">
      <c r="L438" s="1979"/>
      <c r="M438" s="1980"/>
      <c r="N438" s="1980"/>
      <c r="O438" s="1981"/>
      <c r="P438" s="1980"/>
      <c r="Q438" s="1980"/>
      <c r="R438" s="1980"/>
      <c r="S438" s="1980"/>
      <c r="T438" s="1980"/>
      <c r="U438" s="1980"/>
      <c r="V438" s="1980"/>
    </row>
    <row r="439" spans="12:22" ht="15">
      <c r="L439" s="1979"/>
      <c r="M439" s="1980"/>
      <c r="N439" s="1980"/>
      <c r="O439" s="1981"/>
      <c r="P439" s="1980"/>
      <c r="Q439" s="1980"/>
      <c r="R439" s="1980"/>
      <c r="S439" s="1980"/>
      <c r="T439" s="1980"/>
      <c r="U439" s="1980"/>
      <c r="V439" s="1980"/>
    </row>
    <row r="440" spans="12:22" ht="15">
      <c r="L440" s="1979"/>
      <c r="M440" s="1980"/>
      <c r="N440" s="1980"/>
      <c r="O440" s="1981"/>
      <c r="P440" s="1980"/>
      <c r="Q440" s="1980"/>
      <c r="R440" s="1980"/>
      <c r="S440" s="1980"/>
      <c r="T440" s="1980"/>
      <c r="U440" s="1980"/>
      <c r="V440" s="1980"/>
    </row>
    <row r="441" spans="12:22" ht="15">
      <c r="L441" s="1979"/>
      <c r="M441" s="1980"/>
      <c r="N441" s="1980"/>
      <c r="O441" s="1981"/>
      <c r="P441" s="1980"/>
      <c r="Q441" s="1980"/>
      <c r="R441" s="1980"/>
      <c r="S441" s="1980"/>
      <c r="T441" s="1980"/>
      <c r="U441" s="1980"/>
      <c r="V441" s="1980"/>
    </row>
    <row r="442" spans="12:22" ht="15">
      <c r="L442" s="1979"/>
      <c r="M442" s="1980"/>
      <c r="N442" s="1980"/>
      <c r="O442" s="1981"/>
      <c r="P442" s="1980"/>
      <c r="Q442" s="1980"/>
      <c r="R442" s="1980"/>
      <c r="S442" s="1980"/>
      <c r="T442" s="1980"/>
      <c r="U442" s="1980"/>
      <c r="V442" s="1980"/>
    </row>
    <row r="443" spans="12:22" ht="15">
      <c r="L443" s="1979"/>
      <c r="M443" s="1980"/>
      <c r="N443" s="1980"/>
      <c r="O443" s="1981"/>
      <c r="P443" s="1980"/>
      <c r="Q443" s="1980"/>
      <c r="R443" s="1980"/>
      <c r="S443" s="1980"/>
      <c r="T443" s="1980"/>
      <c r="U443" s="1980"/>
      <c r="V443" s="1980"/>
    </row>
    <row r="444" spans="12:22" ht="15">
      <c r="L444" s="1979"/>
      <c r="M444" s="1980"/>
      <c r="N444" s="1980"/>
      <c r="O444" s="1981"/>
      <c r="P444" s="1980"/>
      <c r="Q444" s="1980"/>
      <c r="R444" s="1980"/>
      <c r="S444" s="1980"/>
      <c r="T444" s="1980"/>
      <c r="U444" s="1980"/>
      <c r="V444" s="1980"/>
    </row>
    <row r="445" spans="12:22" ht="15">
      <c r="L445" s="1979"/>
      <c r="M445" s="1980"/>
      <c r="N445" s="1980"/>
      <c r="O445" s="1981"/>
      <c r="P445" s="1980"/>
      <c r="Q445" s="1980"/>
      <c r="R445" s="1980"/>
      <c r="S445" s="1980"/>
      <c r="T445" s="1980"/>
      <c r="U445" s="1980"/>
      <c r="V445" s="1980"/>
    </row>
    <row r="446" spans="12:22" ht="15">
      <c r="L446" s="1979"/>
      <c r="M446" s="1980"/>
      <c r="N446" s="1980"/>
      <c r="O446" s="1981"/>
      <c r="P446" s="1980"/>
      <c r="Q446" s="1980"/>
      <c r="R446" s="1980"/>
      <c r="S446" s="1980"/>
      <c r="T446" s="1980"/>
      <c r="U446" s="1980"/>
      <c r="V446" s="1980"/>
    </row>
    <row r="447" spans="12:22" ht="15">
      <c r="L447" s="1979"/>
      <c r="M447" s="1980"/>
      <c r="N447" s="1980"/>
      <c r="O447" s="1981"/>
      <c r="P447" s="1980"/>
      <c r="Q447" s="1980"/>
      <c r="R447" s="1980"/>
      <c r="S447" s="1980"/>
      <c r="T447" s="1980"/>
      <c r="U447" s="1980"/>
      <c r="V447" s="1980"/>
    </row>
    <row r="448" spans="12:22" ht="15">
      <c r="L448" s="1979"/>
      <c r="M448" s="1980"/>
      <c r="N448" s="1980"/>
      <c r="O448" s="1981"/>
      <c r="P448" s="1980"/>
      <c r="Q448" s="1980"/>
      <c r="R448" s="1980"/>
      <c r="S448" s="1980"/>
      <c r="T448" s="1980"/>
      <c r="U448" s="1980"/>
      <c r="V448" s="1980"/>
    </row>
    <row r="449" spans="12:22" ht="15">
      <c r="L449" s="1979"/>
      <c r="M449" s="1980"/>
      <c r="N449" s="1980"/>
      <c r="O449" s="1981"/>
      <c r="P449" s="1980"/>
      <c r="Q449" s="1980"/>
      <c r="R449" s="1980"/>
      <c r="S449" s="1980"/>
      <c r="T449" s="1980"/>
      <c r="U449" s="1980"/>
      <c r="V449" s="1980"/>
    </row>
    <row r="450" spans="12:22" ht="15">
      <c r="L450" s="1979"/>
      <c r="M450" s="1980"/>
      <c r="N450" s="1980"/>
      <c r="O450" s="1981"/>
      <c r="P450" s="1980"/>
      <c r="Q450" s="1980"/>
      <c r="R450" s="1980"/>
      <c r="S450" s="1980"/>
      <c r="T450" s="1980"/>
      <c r="U450" s="1980"/>
      <c r="V450" s="1980"/>
    </row>
    <row r="451" spans="12:22" ht="15">
      <c r="L451" s="1979"/>
      <c r="M451" s="1980"/>
      <c r="N451" s="1980"/>
      <c r="O451" s="1981"/>
      <c r="P451" s="1980"/>
      <c r="Q451" s="1980"/>
      <c r="R451" s="1980"/>
      <c r="S451" s="1980"/>
      <c r="T451" s="1980"/>
      <c r="U451" s="1980"/>
      <c r="V451" s="1980"/>
    </row>
    <row r="452" spans="12:22" ht="15">
      <c r="L452" s="1979"/>
      <c r="M452" s="1980"/>
      <c r="N452" s="1980"/>
      <c r="O452" s="1981"/>
      <c r="P452" s="1980"/>
      <c r="Q452" s="1980"/>
      <c r="R452" s="1980"/>
      <c r="S452" s="1980"/>
      <c r="T452" s="1980"/>
      <c r="U452" s="1980"/>
      <c r="V452" s="1980"/>
    </row>
    <row r="453" spans="12:22" ht="15">
      <c r="L453" s="1979"/>
      <c r="M453" s="1980"/>
      <c r="N453" s="1980"/>
      <c r="O453" s="1981"/>
      <c r="P453" s="1980"/>
      <c r="Q453" s="1980"/>
      <c r="R453" s="1980"/>
      <c r="S453" s="1980"/>
      <c r="T453" s="1980"/>
      <c r="U453" s="1980"/>
      <c r="V453" s="1980"/>
    </row>
    <row r="454" spans="12:22" ht="15">
      <c r="L454" s="1979"/>
      <c r="M454" s="1980"/>
      <c r="N454" s="1980"/>
      <c r="O454" s="1981"/>
      <c r="P454" s="1980"/>
      <c r="Q454" s="1980"/>
      <c r="R454" s="1980"/>
      <c r="S454" s="1980"/>
      <c r="T454" s="1980"/>
      <c r="U454" s="1980"/>
      <c r="V454" s="1980"/>
    </row>
    <row r="455" spans="12:22" ht="15">
      <c r="L455" s="1979"/>
      <c r="M455" s="1980"/>
      <c r="N455" s="1980"/>
      <c r="O455" s="1981"/>
      <c r="P455" s="1980"/>
      <c r="Q455" s="1980"/>
      <c r="R455" s="1980"/>
      <c r="S455" s="1980"/>
      <c r="T455" s="1980"/>
      <c r="U455" s="1980"/>
      <c r="V455" s="1980"/>
    </row>
    <row r="456" spans="12:22" ht="15">
      <c r="L456" s="1979"/>
      <c r="M456" s="1980"/>
      <c r="N456" s="1980"/>
      <c r="O456" s="1981"/>
      <c r="P456" s="1980"/>
      <c r="Q456" s="1980"/>
      <c r="R456" s="1980"/>
      <c r="S456" s="1980"/>
      <c r="T456" s="1980"/>
      <c r="U456" s="1980"/>
      <c r="V456" s="1980"/>
    </row>
    <row r="457" spans="12:22" ht="15">
      <c r="L457" s="1979"/>
      <c r="M457" s="1980"/>
      <c r="N457" s="1980"/>
      <c r="O457" s="1981"/>
      <c r="P457" s="1980"/>
      <c r="Q457" s="1980"/>
      <c r="R457" s="1980"/>
      <c r="S457" s="1980"/>
      <c r="T457" s="1980"/>
      <c r="U457" s="1980"/>
      <c r="V457" s="1980"/>
    </row>
    <row r="458" spans="12:22" ht="15">
      <c r="L458" s="1979"/>
      <c r="M458" s="1980"/>
      <c r="N458" s="1980"/>
      <c r="O458" s="1981"/>
      <c r="P458" s="1980"/>
      <c r="Q458" s="1980"/>
      <c r="R458" s="1980"/>
      <c r="S458" s="1980"/>
      <c r="T458" s="1980"/>
      <c r="U458" s="1980"/>
      <c r="V458" s="1980"/>
    </row>
    <row r="459" spans="12:22" ht="15">
      <c r="L459" s="1979"/>
      <c r="M459" s="1980"/>
      <c r="N459" s="1980"/>
      <c r="O459" s="1981"/>
      <c r="P459" s="1980"/>
      <c r="Q459" s="1980"/>
      <c r="R459" s="1980"/>
      <c r="S459" s="1980"/>
      <c r="T459" s="1980"/>
      <c r="U459" s="1980"/>
      <c r="V459" s="1980"/>
    </row>
    <row r="460" spans="12:22" ht="15">
      <c r="L460" s="1979"/>
      <c r="M460" s="1980"/>
      <c r="N460" s="1980"/>
      <c r="O460" s="1981"/>
      <c r="P460" s="1980"/>
      <c r="Q460" s="1980"/>
      <c r="R460" s="1980"/>
      <c r="S460" s="1980"/>
      <c r="T460" s="1980"/>
      <c r="U460" s="1980"/>
      <c r="V460" s="1980"/>
    </row>
    <row r="461" spans="12:22" ht="15">
      <c r="L461" s="1979"/>
      <c r="M461" s="1980"/>
      <c r="N461" s="1980"/>
      <c r="O461" s="1981"/>
      <c r="P461" s="1980"/>
      <c r="Q461" s="1980"/>
      <c r="R461" s="1980"/>
      <c r="S461" s="1980"/>
      <c r="T461" s="1980"/>
      <c r="U461" s="1980"/>
      <c r="V461" s="1980"/>
    </row>
    <row r="462" spans="12:22" ht="15">
      <c r="L462" s="1979"/>
      <c r="M462" s="1980"/>
      <c r="N462" s="1980"/>
      <c r="O462" s="1981"/>
      <c r="P462" s="1980"/>
      <c r="Q462" s="1980"/>
      <c r="R462" s="1980"/>
      <c r="S462" s="1980"/>
      <c r="T462" s="1980"/>
      <c r="U462" s="1980"/>
      <c r="V462" s="1980"/>
    </row>
    <row r="463" spans="12:22" ht="15">
      <c r="L463" s="1979"/>
      <c r="M463" s="1980"/>
      <c r="N463" s="1980"/>
      <c r="O463" s="1981"/>
      <c r="P463" s="1980"/>
      <c r="Q463" s="1980"/>
      <c r="R463" s="1980"/>
      <c r="S463" s="1980"/>
      <c r="T463" s="1980"/>
      <c r="U463" s="1980"/>
      <c r="V463" s="1980"/>
    </row>
    <row r="464" spans="12:22" ht="15">
      <c r="L464" s="1979"/>
      <c r="M464" s="1980"/>
      <c r="N464" s="1980"/>
      <c r="O464" s="1981"/>
      <c r="P464" s="1980"/>
      <c r="Q464" s="1980"/>
      <c r="R464" s="1980"/>
      <c r="S464" s="1980"/>
      <c r="T464" s="1980"/>
      <c r="U464" s="1980"/>
      <c r="V464" s="1980"/>
    </row>
    <row r="465" spans="12:22" ht="15">
      <c r="L465" s="1979"/>
      <c r="M465" s="1980"/>
      <c r="N465" s="1980"/>
      <c r="O465" s="1981"/>
      <c r="P465" s="1980"/>
      <c r="Q465" s="1980"/>
      <c r="R465" s="1980"/>
      <c r="S465" s="1980"/>
      <c r="T465" s="1980"/>
      <c r="U465" s="1980"/>
      <c r="V465" s="1980"/>
    </row>
    <row r="466" spans="12:22" ht="15">
      <c r="L466" s="1979"/>
      <c r="M466" s="1980"/>
      <c r="N466" s="1980"/>
      <c r="O466" s="1981"/>
      <c r="P466" s="1980"/>
      <c r="Q466" s="1980"/>
      <c r="R466" s="1980"/>
      <c r="S466" s="1980"/>
      <c r="T466" s="1980"/>
      <c r="U466" s="1980"/>
      <c r="V466" s="1980"/>
    </row>
    <row r="467" spans="12:22" ht="15">
      <c r="L467" s="1979"/>
      <c r="M467" s="1980"/>
      <c r="N467" s="1980"/>
      <c r="O467" s="1981"/>
      <c r="P467" s="1980"/>
      <c r="Q467" s="1980"/>
      <c r="R467" s="1980"/>
      <c r="S467" s="1980"/>
      <c r="T467" s="1980"/>
      <c r="U467" s="1980"/>
      <c r="V467" s="1980"/>
    </row>
    <row r="468" spans="12:22" ht="15">
      <c r="L468" s="1979"/>
      <c r="M468" s="1980"/>
      <c r="N468" s="1980"/>
      <c r="O468" s="1981"/>
      <c r="P468" s="1980"/>
      <c r="Q468" s="1980"/>
      <c r="R468" s="1980"/>
      <c r="S468" s="1980"/>
      <c r="T468" s="1980"/>
      <c r="U468" s="1980"/>
      <c r="V468" s="1980"/>
    </row>
    <row r="469" spans="12:22" ht="15">
      <c r="L469" s="1979"/>
      <c r="M469" s="1980"/>
      <c r="N469" s="1980"/>
      <c r="O469" s="1981"/>
      <c r="P469" s="1980"/>
      <c r="Q469" s="1980"/>
      <c r="R469" s="1980"/>
      <c r="S469" s="1980"/>
      <c r="T469" s="1980"/>
      <c r="U469" s="1980"/>
      <c r="V469" s="1980"/>
    </row>
    <row r="470" spans="12:22" ht="15">
      <c r="L470" s="1979"/>
      <c r="M470" s="1980"/>
      <c r="N470" s="1980"/>
      <c r="O470" s="1981"/>
      <c r="P470" s="1980"/>
      <c r="Q470" s="1980"/>
      <c r="R470" s="1980"/>
      <c r="S470" s="1980"/>
      <c r="T470" s="1980"/>
      <c r="U470" s="1980"/>
      <c r="V470" s="1980"/>
    </row>
    <row r="471" spans="12:22" ht="15">
      <c r="L471" s="1979"/>
      <c r="M471" s="1980"/>
      <c r="N471" s="1980"/>
      <c r="O471" s="1981"/>
      <c r="P471" s="1980"/>
      <c r="Q471" s="1980"/>
      <c r="R471" s="1980"/>
      <c r="S471" s="1980"/>
      <c r="T471" s="1980"/>
      <c r="U471" s="1980"/>
      <c r="V471" s="1980"/>
    </row>
    <row r="472" spans="12:22" ht="15">
      <c r="L472" s="1979"/>
      <c r="M472" s="1980"/>
      <c r="N472" s="1980"/>
      <c r="O472" s="1981"/>
      <c r="P472" s="1980"/>
      <c r="Q472" s="1980"/>
      <c r="R472" s="1980"/>
      <c r="S472" s="1980"/>
      <c r="T472" s="1980"/>
      <c r="U472" s="1980"/>
      <c r="V472" s="1980"/>
    </row>
    <row r="473" spans="12:22" ht="15">
      <c r="L473" s="1979"/>
      <c r="M473" s="1980"/>
      <c r="N473" s="1980"/>
      <c r="O473" s="1981"/>
      <c r="P473" s="1980"/>
      <c r="Q473" s="1980"/>
      <c r="R473" s="1980"/>
      <c r="S473" s="1980"/>
      <c r="T473" s="1980"/>
      <c r="U473" s="1980"/>
      <c r="V473" s="1980"/>
    </row>
    <row r="474" spans="12:22" ht="15">
      <c r="L474" s="1979"/>
      <c r="M474" s="1980"/>
      <c r="N474" s="1980"/>
      <c r="O474" s="1981"/>
      <c r="P474" s="1980"/>
      <c r="Q474" s="1980"/>
      <c r="R474" s="1980"/>
      <c r="S474" s="1980"/>
      <c r="T474" s="1980"/>
      <c r="U474" s="1980"/>
      <c r="V474" s="1980"/>
    </row>
    <row r="475" spans="12:22" ht="15">
      <c r="L475" s="1979"/>
      <c r="M475" s="1980"/>
      <c r="N475" s="1980"/>
      <c r="O475" s="1981"/>
      <c r="P475" s="1980"/>
      <c r="Q475" s="1980"/>
      <c r="R475" s="1980"/>
      <c r="S475" s="1980"/>
      <c r="T475" s="1980"/>
      <c r="U475" s="1980"/>
      <c r="V475" s="1980"/>
    </row>
    <row r="476" spans="12:22" ht="15">
      <c r="L476" s="1979"/>
      <c r="M476" s="1980"/>
      <c r="N476" s="1980"/>
      <c r="O476" s="1981"/>
      <c r="P476" s="1980"/>
      <c r="Q476" s="1980"/>
      <c r="R476" s="1980"/>
      <c r="S476" s="1980"/>
      <c r="T476" s="1980"/>
      <c r="U476" s="1980"/>
      <c r="V476" s="1980"/>
    </row>
    <row r="477" spans="12:22" ht="15">
      <c r="L477" s="1979"/>
      <c r="M477" s="1980"/>
      <c r="N477" s="1980"/>
      <c r="O477" s="1981"/>
      <c r="P477" s="1980"/>
      <c r="Q477" s="1980"/>
      <c r="R477" s="1980"/>
      <c r="S477" s="1980"/>
      <c r="T477" s="1980"/>
      <c r="U477" s="1980"/>
      <c r="V477" s="1980"/>
    </row>
    <row r="478" spans="12:22" ht="15">
      <c r="L478" s="1979"/>
      <c r="M478" s="1980"/>
      <c r="N478" s="1980"/>
      <c r="O478" s="1981"/>
      <c r="P478" s="1980"/>
      <c r="Q478" s="1980"/>
      <c r="R478" s="1980"/>
      <c r="S478" s="1980"/>
      <c r="T478" s="1980"/>
      <c r="U478" s="1980"/>
      <c r="V478" s="1980"/>
    </row>
    <row r="479" spans="12:22" ht="15">
      <c r="L479" s="1979"/>
      <c r="M479" s="1980"/>
      <c r="N479" s="1980"/>
      <c r="O479" s="1981"/>
      <c r="P479" s="1980"/>
      <c r="Q479" s="1980"/>
      <c r="R479" s="1980"/>
      <c r="S479" s="1980"/>
      <c r="T479" s="1980"/>
      <c r="U479" s="1980"/>
      <c r="V479" s="1980"/>
    </row>
    <row r="480" spans="12:22" ht="15">
      <c r="L480" s="1979"/>
      <c r="M480" s="1980"/>
      <c r="N480" s="1980"/>
      <c r="O480" s="1981"/>
      <c r="P480" s="1980"/>
      <c r="Q480" s="1980"/>
      <c r="R480" s="1980"/>
      <c r="S480" s="1980"/>
      <c r="T480" s="1980"/>
      <c r="U480" s="1980"/>
      <c r="V480" s="1980"/>
    </row>
    <row r="481" spans="12:22" ht="15">
      <c r="L481" s="1979"/>
      <c r="M481" s="1980"/>
      <c r="N481" s="1980"/>
      <c r="O481" s="1981"/>
      <c r="P481" s="1980"/>
      <c r="Q481" s="1980"/>
      <c r="R481" s="1980"/>
      <c r="S481" s="1980"/>
      <c r="T481" s="1980"/>
      <c r="U481" s="1980"/>
      <c r="V481" s="1980"/>
    </row>
    <row r="482" spans="12:22" ht="15">
      <c r="L482" s="1979"/>
      <c r="M482" s="1980"/>
      <c r="N482" s="1980"/>
      <c r="O482" s="1981"/>
      <c r="P482" s="1980"/>
      <c r="Q482" s="1980"/>
      <c r="R482" s="1980"/>
      <c r="S482" s="1980"/>
      <c r="T482" s="1980"/>
      <c r="U482" s="1980"/>
      <c r="V482" s="1980"/>
    </row>
    <row r="483" spans="12:22" ht="15">
      <c r="L483" s="1979"/>
      <c r="M483" s="1980"/>
      <c r="N483" s="1980"/>
      <c r="O483" s="1981"/>
      <c r="P483" s="1980"/>
      <c r="Q483" s="1980"/>
      <c r="R483" s="1980"/>
      <c r="S483" s="1980"/>
      <c r="T483" s="1980"/>
      <c r="U483" s="1980"/>
      <c r="V483" s="1980"/>
    </row>
    <row r="484" spans="12:22" ht="15">
      <c r="L484" s="1979"/>
      <c r="M484" s="1980"/>
      <c r="N484" s="1980"/>
      <c r="O484" s="1981"/>
      <c r="P484" s="1980"/>
      <c r="Q484" s="1980"/>
      <c r="R484" s="1980"/>
      <c r="S484" s="1980"/>
      <c r="T484" s="1980"/>
      <c r="U484" s="1980"/>
      <c r="V484" s="1980"/>
    </row>
    <row r="485" spans="12:22" ht="15">
      <c r="L485" s="1979"/>
      <c r="M485" s="1980"/>
      <c r="N485" s="1980"/>
      <c r="O485" s="1981"/>
      <c r="P485" s="1980"/>
      <c r="Q485" s="1980"/>
      <c r="R485" s="1980"/>
      <c r="S485" s="1980"/>
      <c r="T485" s="1980"/>
      <c r="U485" s="1980"/>
      <c r="V485" s="1980"/>
    </row>
    <row r="486" spans="12:22" ht="15">
      <c r="L486" s="1979"/>
      <c r="M486" s="1980"/>
      <c r="N486" s="1980"/>
      <c r="O486" s="1981"/>
      <c r="P486" s="1980"/>
      <c r="Q486" s="1980"/>
      <c r="R486" s="1980"/>
      <c r="S486" s="1980"/>
      <c r="T486" s="1980"/>
      <c r="U486" s="1980"/>
      <c r="V486" s="1980"/>
    </row>
    <row r="487" spans="12:22" ht="15">
      <c r="L487" s="1979"/>
      <c r="M487" s="1980"/>
      <c r="N487" s="1980"/>
      <c r="O487" s="1981"/>
      <c r="P487" s="1980"/>
      <c r="Q487" s="1980"/>
      <c r="R487" s="1980"/>
      <c r="S487" s="1980"/>
      <c r="T487" s="1980"/>
      <c r="U487" s="1980"/>
      <c r="V487" s="1980"/>
    </row>
    <row r="488" spans="12:22" ht="15">
      <c r="L488" s="1979"/>
      <c r="M488" s="1980"/>
      <c r="N488" s="1980"/>
      <c r="O488" s="1981"/>
      <c r="P488" s="1980"/>
      <c r="Q488" s="1980"/>
      <c r="R488" s="1980"/>
      <c r="S488" s="1980"/>
      <c r="T488" s="1980"/>
      <c r="U488" s="1980"/>
      <c r="V488" s="1980"/>
    </row>
    <row r="489" spans="12:22" ht="15">
      <c r="L489" s="1979"/>
      <c r="M489" s="1980"/>
      <c r="N489" s="1980"/>
      <c r="O489" s="1981"/>
      <c r="P489" s="1980"/>
      <c r="Q489" s="1980"/>
      <c r="R489" s="1980"/>
      <c r="S489" s="1980"/>
      <c r="T489" s="1980"/>
      <c r="U489" s="1980"/>
      <c r="V489" s="1980"/>
    </row>
    <row r="490" spans="12:22" ht="15">
      <c r="L490" s="1979"/>
      <c r="M490" s="1980"/>
      <c r="N490" s="1980"/>
      <c r="O490" s="1981"/>
      <c r="P490" s="1980"/>
      <c r="Q490" s="1980"/>
      <c r="R490" s="1980"/>
      <c r="S490" s="1980"/>
      <c r="T490" s="1980"/>
      <c r="U490" s="1980"/>
      <c r="V490" s="1980"/>
    </row>
    <row r="491" spans="12:22" ht="15">
      <c r="L491" s="1979"/>
      <c r="M491" s="1980"/>
      <c r="N491" s="1980"/>
      <c r="O491" s="1981"/>
      <c r="P491" s="1980"/>
      <c r="Q491" s="1980"/>
      <c r="R491" s="1980"/>
      <c r="S491" s="1980"/>
      <c r="T491" s="1980"/>
      <c r="U491" s="1980"/>
      <c r="V491" s="1980"/>
    </row>
    <row r="492" spans="12:22" ht="15">
      <c r="L492" s="1979"/>
      <c r="M492" s="1980"/>
      <c r="N492" s="1980"/>
      <c r="O492" s="1981"/>
      <c r="P492" s="1980"/>
      <c r="Q492" s="1980"/>
      <c r="R492" s="1980"/>
      <c r="S492" s="1980"/>
      <c r="T492" s="1980"/>
      <c r="U492" s="1980"/>
      <c r="V492" s="1980"/>
    </row>
    <row r="493" spans="12:22" ht="15">
      <c r="L493" s="1979"/>
      <c r="M493" s="1980"/>
      <c r="N493" s="1980"/>
      <c r="O493" s="1981"/>
      <c r="P493" s="1980"/>
      <c r="Q493" s="1980"/>
      <c r="R493" s="1980"/>
      <c r="S493" s="1980"/>
      <c r="T493" s="1980"/>
      <c r="U493" s="1980"/>
      <c r="V493" s="1980"/>
    </row>
    <row r="494" spans="12:22" ht="15">
      <c r="L494" s="1979"/>
      <c r="M494" s="1980"/>
      <c r="N494" s="1980"/>
      <c r="O494" s="1981"/>
      <c r="P494" s="1980"/>
      <c r="Q494" s="1980"/>
      <c r="R494" s="1980"/>
      <c r="S494" s="1980"/>
      <c r="T494" s="1980"/>
      <c r="U494" s="1980"/>
      <c r="V494" s="1980"/>
    </row>
    <row r="495" spans="12:22" ht="15">
      <c r="L495" s="1979"/>
      <c r="M495" s="1980"/>
      <c r="N495" s="1980"/>
      <c r="O495" s="1981"/>
      <c r="P495" s="1980"/>
      <c r="Q495" s="1980"/>
      <c r="R495" s="1980"/>
      <c r="S495" s="1980"/>
      <c r="T495" s="1980"/>
      <c r="U495" s="1980"/>
      <c r="V495" s="1980"/>
    </row>
    <row r="496" spans="12:22" ht="15">
      <c r="L496" s="1979"/>
      <c r="M496" s="1980"/>
      <c r="N496" s="1980"/>
      <c r="O496" s="1981"/>
      <c r="P496" s="1980"/>
      <c r="Q496" s="1980"/>
      <c r="R496" s="1980"/>
      <c r="S496" s="1980"/>
      <c r="T496" s="1980"/>
      <c r="U496" s="1980"/>
      <c r="V496" s="1980"/>
    </row>
    <row r="497" spans="12:22" ht="15">
      <c r="L497" s="1979"/>
      <c r="M497" s="1980"/>
      <c r="N497" s="1980"/>
      <c r="O497" s="1981"/>
      <c r="P497" s="1980"/>
      <c r="Q497" s="1980"/>
      <c r="R497" s="1980"/>
      <c r="S497" s="1980"/>
      <c r="T497" s="1980"/>
      <c r="U497" s="1980"/>
      <c r="V497" s="1980"/>
    </row>
    <row r="498" spans="12:22" ht="15">
      <c r="L498" s="1979"/>
      <c r="M498" s="1980"/>
      <c r="N498" s="1980"/>
      <c r="O498" s="1981"/>
      <c r="P498" s="1980"/>
      <c r="Q498" s="1980"/>
      <c r="R498" s="1980"/>
      <c r="S498" s="1980"/>
      <c r="T498" s="1980"/>
      <c r="U498" s="1980"/>
      <c r="V498" s="1980"/>
    </row>
    <row r="499" spans="12:22" ht="15">
      <c r="L499" s="1979"/>
      <c r="M499" s="1980"/>
      <c r="N499" s="1980"/>
      <c r="O499" s="1981"/>
      <c r="P499" s="1980"/>
      <c r="Q499" s="1980"/>
      <c r="R499" s="1980"/>
      <c r="S499" s="1980"/>
      <c r="T499" s="1980"/>
      <c r="U499" s="1980"/>
      <c r="V499" s="1980"/>
    </row>
    <row r="500" spans="12:22" ht="15">
      <c r="L500" s="1979"/>
      <c r="M500" s="1980"/>
      <c r="N500" s="1980"/>
      <c r="O500" s="1981"/>
      <c r="P500" s="1980"/>
      <c r="Q500" s="1980"/>
      <c r="R500" s="1980"/>
      <c r="S500" s="1980"/>
      <c r="T500" s="1980"/>
      <c r="U500" s="1980"/>
      <c r="V500" s="1980"/>
    </row>
    <row r="501" spans="12:22" ht="15">
      <c r="L501" s="1979"/>
      <c r="M501" s="1980"/>
      <c r="N501" s="1980"/>
      <c r="O501" s="1981"/>
      <c r="P501" s="1980"/>
      <c r="Q501" s="1980"/>
      <c r="R501" s="1980"/>
      <c r="S501" s="1980"/>
      <c r="T501" s="1980"/>
      <c r="U501" s="1980"/>
      <c r="V501" s="1980"/>
    </row>
    <row r="502" spans="12:22" ht="15">
      <c r="L502" s="1979"/>
      <c r="M502" s="1980"/>
      <c r="N502" s="1980"/>
      <c r="O502" s="1981"/>
      <c r="P502" s="1980"/>
      <c r="Q502" s="1980"/>
      <c r="R502" s="1980"/>
      <c r="S502" s="1980"/>
      <c r="T502" s="1980"/>
      <c r="U502" s="1980"/>
      <c r="V502" s="1980"/>
    </row>
    <row r="503" spans="12:22" ht="15">
      <c r="L503" s="1979"/>
      <c r="M503" s="1980"/>
      <c r="N503" s="1980"/>
      <c r="O503" s="1981"/>
      <c r="P503" s="1980"/>
      <c r="Q503" s="1980"/>
      <c r="R503" s="1980"/>
      <c r="S503" s="1980"/>
      <c r="T503" s="1980"/>
      <c r="U503" s="1980"/>
      <c r="V503" s="1980"/>
    </row>
    <row r="504" spans="12:22" ht="15">
      <c r="L504" s="1979"/>
      <c r="M504" s="1980"/>
      <c r="N504" s="1980"/>
      <c r="O504" s="1981"/>
      <c r="P504" s="1980"/>
      <c r="Q504" s="1980"/>
      <c r="R504" s="1980"/>
      <c r="S504" s="1980"/>
      <c r="T504" s="1980"/>
      <c r="U504" s="1980"/>
      <c r="V504" s="1980"/>
    </row>
    <row r="505" spans="12:22" ht="15">
      <c r="L505" s="1979"/>
      <c r="M505" s="1980"/>
      <c r="N505" s="1980"/>
      <c r="O505" s="1981"/>
      <c r="P505" s="1980"/>
      <c r="Q505" s="1980"/>
      <c r="R505" s="1980"/>
      <c r="S505" s="1980"/>
      <c r="T505" s="1980"/>
      <c r="U505" s="1980"/>
      <c r="V505" s="1980"/>
    </row>
    <row r="506" spans="12:22" ht="15">
      <c r="L506" s="1979"/>
      <c r="M506" s="1980"/>
      <c r="N506" s="1980"/>
      <c r="O506" s="1981"/>
      <c r="P506" s="1980"/>
      <c r="Q506" s="1980"/>
      <c r="R506" s="1980"/>
      <c r="S506" s="1980"/>
      <c r="T506" s="1980"/>
      <c r="U506" s="1980"/>
      <c r="V506" s="1980"/>
    </row>
    <row r="507" spans="12:22" ht="15">
      <c r="L507" s="1979"/>
      <c r="M507" s="1980"/>
      <c r="N507" s="1980"/>
      <c r="O507" s="1981"/>
      <c r="P507" s="1980"/>
      <c r="Q507" s="1980"/>
      <c r="R507" s="1980"/>
      <c r="S507" s="1980"/>
      <c r="T507" s="1980"/>
      <c r="U507" s="1980"/>
      <c r="V507" s="1980"/>
    </row>
    <row r="508" spans="12:22" ht="15">
      <c r="L508" s="1979"/>
      <c r="M508" s="1980"/>
      <c r="N508" s="1980"/>
      <c r="O508" s="1981"/>
      <c r="P508" s="1980"/>
      <c r="Q508" s="1980"/>
      <c r="R508" s="1980"/>
      <c r="S508" s="1980"/>
      <c r="T508" s="1980"/>
      <c r="U508" s="1980"/>
      <c r="V508" s="1980"/>
    </row>
    <row r="509" spans="12:22" ht="15">
      <c r="L509" s="1979"/>
      <c r="M509" s="1980"/>
      <c r="N509" s="1980"/>
      <c r="O509" s="1981"/>
      <c r="P509" s="1980"/>
      <c r="Q509" s="1980"/>
      <c r="R509" s="1980"/>
      <c r="S509" s="1980"/>
      <c r="T509" s="1980"/>
      <c r="U509" s="1980"/>
      <c r="V509" s="1980"/>
    </row>
    <row r="510" spans="12:22" ht="15">
      <c r="L510" s="1979"/>
      <c r="M510" s="1980"/>
      <c r="N510" s="1980"/>
      <c r="O510" s="1981"/>
      <c r="P510" s="1980"/>
      <c r="Q510" s="1980"/>
      <c r="R510" s="1980"/>
      <c r="S510" s="1980"/>
      <c r="T510" s="1980"/>
      <c r="U510" s="1980"/>
      <c r="V510" s="1980"/>
    </row>
    <row r="511" spans="12:22" ht="15">
      <c r="L511" s="1979"/>
      <c r="M511" s="1980"/>
      <c r="N511" s="1980"/>
      <c r="O511" s="1981"/>
      <c r="P511" s="1980"/>
      <c r="Q511" s="1980"/>
      <c r="R511" s="1980"/>
      <c r="S511" s="1980"/>
      <c r="T511" s="1980"/>
      <c r="U511" s="1980"/>
      <c r="V511" s="1980"/>
    </row>
    <row r="512" spans="12:22" ht="15">
      <c r="L512" s="1979"/>
      <c r="M512" s="1980"/>
      <c r="N512" s="1980"/>
      <c r="O512" s="1981"/>
      <c r="P512" s="1980"/>
      <c r="Q512" s="1980"/>
      <c r="R512" s="1980"/>
      <c r="S512" s="1980"/>
      <c r="T512" s="1980"/>
      <c r="U512" s="1980"/>
      <c r="V512" s="1980"/>
    </row>
    <row r="513" spans="12:22" ht="15">
      <c r="L513" s="1979"/>
      <c r="M513" s="1980"/>
      <c r="N513" s="1980"/>
      <c r="O513" s="1981"/>
      <c r="P513" s="1980"/>
      <c r="Q513" s="1980"/>
      <c r="R513" s="1980"/>
      <c r="S513" s="1980"/>
      <c r="T513" s="1980"/>
      <c r="U513" s="1980"/>
      <c r="V513" s="1980"/>
    </row>
    <row r="514" spans="12:22" ht="15">
      <c r="L514" s="1979"/>
      <c r="M514" s="1980"/>
      <c r="N514" s="1980"/>
      <c r="O514" s="1981"/>
      <c r="P514" s="1980"/>
      <c r="Q514" s="1980"/>
      <c r="R514" s="1980"/>
      <c r="S514" s="1980"/>
      <c r="T514" s="1980"/>
      <c r="U514" s="1980"/>
      <c r="V514" s="1980"/>
    </row>
    <row r="515" spans="12:22" ht="15">
      <c r="L515" s="1979"/>
      <c r="M515" s="1980"/>
      <c r="N515" s="1980"/>
      <c r="O515" s="1981"/>
      <c r="P515" s="1980"/>
      <c r="Q515" s="1980"/>
      <c r="R515" s="1980"/>
      <c r="S515" s="1980"/>
      <c r="T515" s="1980"/>
      <c r="U515" s="1980"/>
      <c r="V515" s="1980"/>
    </row>
    <row r="516" spans="12:22" ht="15">
      <c r="L516" s="1979"/>
      <c r="M516" s="1980"/>
      <c r="N516" s="1980"/>
      <c r="O516" s="1981"/>
      <c r="P516" s="1980"/>
      <c r="Q516" s="1980"/>
      <c r="R516" s="1980"/>
      <c r="S516" s="1980"/>
      <c r="T516" s="1980"/>
      <c r="U516" s="1980"/>
      <c r="V516" s="1980"/>
    </row>
    <row r="517" spans="12:22" ht="15">
      <c r="L517" s="1979"/>
      <c r="M517" s="1980"/>
      <c r="N517" s="1980"/>
      <c r="O517" s="1981"/>
      <c r="P517" s="1980"/>
      <c r="Q517" s="1980"/>
      <c r="R517" s="1980"/>
      <c r="S517" s="1980"/>
      <c r="T517" s="1980"/>
      <c r="U517" s="1980"/>
      <c r="V517" s="1980"/>
    </row>
    <row r="518" spans="12:22" ht="15">
      <c r="L518" s="1979"/>
      <c r="M518" s="1980"/>
      <c r="N518" s="1980"/>
      <c r="O518" s="1981"/>
      <c r="P518" s="1980"/>
      <c r="Q518" s="1980"/>
      <c r="R518" s="1980"/>
      <c r="S518" s="1980"/>
      <c r="T518" s="1980"/>
      <c r="U518" s="1980"/>
      <c r="V518" s="1980"/>
    </row>
    <row r="519" spans="12:22" ht="15">
      <c r="L519" s="1979"/>
      <c r="M519" s="1980"/>
      <c r="N519" s="1980"/>
      <c r="O519" s="1981"/>
      <c r="P519" s="1980"/>
      <c r="Q519" s="1980"/>
      <c r="R519" s="1980"/>
      <c r="S519" s="1980"/>
      <c r="T519" s="1980"/>
      <c r="U519" s="1980"/>
      <c r="V519" s="1980"/>
    </row>
    <row r="520" spans="12:22" ht="15">
      <c r="L520" s="1979"/>
      <c r="M520" s="1980"/>
      <c r="N520" s="1980"/>
      <c r="O520" s="1981"/>
      <c r="P520" s="1980"/>
      <c r="Q520" s="1980"/>
      <c r="R520" s="1980"/>
      <c r="S520" s="1980"/>
      <c r="T520" s="1980"/>
      <c r="U520" s="1980"/>
      <c r="V520" s="1980"/>
    </row>
    <row r="521" spans="12:22" ht="15">
      <c r="L521" s="1979"/>
      <c r="M521" s="1980"/>
      <c r="N521" s="1980"/>
      <c r="O521" s="1981"/>
      <c r="P521" s="1980"/>
      <c r="Q521" s="1980"/>
      <c r="R521" s="1980"/>
      <c r="S521" s="1980"/>
      <c r="T521" s="1980"/>
      <c r="U521" s="1980"/>
      <c r="V521" s="1980"/>
    </row>
    <row r="522" spans="12:22" ht="15">
      <c r="L522" s="1979"/>
      <c r="M522" s="1980"/>
      <c r="N522" s="1980"/>
      <c r="O522" s="1981"/>
      <c r="P522" s="1980"/>
      <c r="Q522" s="1980"/>
      <c r="R522" s="1980"/>
      <c r="S522" s="1980"/>
      <c r="T522" s="1980"/>
      <c r="U522" s="1980"/>
      <c r="V522" s="1980"/>
    </row>
    <row r="523" spans="12:22" ht="15">
      <c r="L523" s="1979"/>
      <c r="M523" s="1980"/>
      <c r="N523" s="1980"/>
      <c r="O523" s="1981"/>
      <c r="P523" s="1980"/>
      <c r="Q523" s="1980"/>
      <c r="R523" s="1980"/>
      <c r="S523" s="1980"/>
      <c r="T523" s="1980"/>
      <c r="U523" s="1980"/>
      <c r="V523" s="1980"/>
    </row>
    <row r="524" spans="12:22" ht="15">
      <c r="L524" s="1979"/>
      <c r="M524" s="1980"/>
      <c r="N524" s="1980"/>
      <c r="O524" s="1981"/>
      <c r="P524" s="1980"/>
      <c r="Q524" s="1980"/>
      <c r="R524" s="1980"/>
      <c r="S524" s="1980"/>
      <c r="T524" s="1980"/>
      <c r="U524" s="1980"/>
      <c r="V524" s="1980"/>
    </row>
    <row r="525" spans="12:22" ht="15">
      <c r="L525" s="1979"/>
      <c r="M525" s="1980"/>
      <c r="N525" s="1980"/>
      <c r="O525" s="1981"/>
      <c r="P525" s="1980"/>
      <c r="Q525" s="1980"/>
      <c r="R525" s="1980"/>
      <c r="S525" s="1980"/>
      <c r="T525" s="1980"/>
      <c r="U525" s="1980"/>
      <c r="V525" s="1980"/>
    </row>
    <row r="526" spans="12:22" ht="15">
      <c r="L526" s="1979"/>
      <c r="M526" s="1980"/>
      <c r="N526" s="1980"/>
      <c r="O526" s="1981"/>
      <c r="P526" s="1980"/>
      <c r="Q526" s="1980"/>
      <c r="R526" s="1980"/>
      <c r="S526" s="1980"/>
      <c r="T526" s="1980"/>
      <c r="U526" s="1980"/>
      <c r="V526" s="1980"/>
    </row>
    <row r="527" spans="12:22" ht="15">
      <c r="L527" s="1979"/>
      <c r="M527" s="1980"/>
      <c r="N527" s="1980"/>
      <c r="O527" s="1981"/>
      <c r="P527" s="1980"/>
      <c r="Q527" s="1980"/>
      <c r="R527" s="1980"/>
      <c r="S527" s="1980"/>
      <c r="T527" s="1980"/>
      <c r="U527" s="1980"/>
      <c r="V527" s="1980"/>
    </row>
    <row r="528" spans="12:22" ht="15">
      <c r="L528" s="1979"/>
      <c r="M528" s="1980"/>
      <c r="N528" s="1980"/>
      <c r="O528" s="1981"/>
      <c r="P528" s="1980"/>
      <c r="Q528" s="1980"/>
      <c r="R528" s="1980"/>
      <c r="S528" s="1980"/>
      <c r="T528" s="1980"/>
      <c r="U528" s="1980"/>
      <c r="V528" s="1980"/>
    </row>
    <row r="529" spans="12:22" ht="15">
      <c r="L529" s="1979"/>
      <c r="M529" s="1980"/>
      <c r="N529" s="1980"/>
      <c r="O529" s="1981"/>
      <c r="P529" s="1980"/>
      <c r="Q529" s="1980"/>
      <c r="R529" s="1980"/>
      <c r="S529" s="1980"/>
      <c r="T529" s="1980"/>
      <c r="U529" s="1980"/>
      <c r="V529" s="1980"/>
    </row>
    <row r="530" spans="12:22" ht="15">
      <c r="L530" s="1979"/>
      <c r="M530" s="1980"/>
      <c r="N530" s="1980"/>
      <c r="O530" s="1981"/>
      <c r="P530" s="1980"/>
      <c r="Q530" s="1980"/>
      <c r="R530" s="1980"/>
      <c r="S530" s="1980"/>
      <c r="T530" s="1980"/>
      <c r="U530" s="1980"/>
      <c r="V530" s="1980"/>
    </row>
    <row r="531" spans="12:22" ht="15">
      <c r="L531" s="1979"/>
      <c r="M531" s="1980"/>
      <c r="N531" s="1980"/>
      <c r="O531" s="1981"/>
      <c r="P531" s="1980"/>
      <c r="Q531" s="1980"/>
      <c r="R531" s="1980"/>
      <c r="S531" s="1980"/>
      <c r="T531" s="1980"/>
      <c r="U531" s="1980"/>
      <c r="V531" s="1980"/>
    </row>
    <row r="532" spans="12:22" ht="15">
      <c r="L532" s="1979"/>
      <c r="M532" s="1980"/>
      <c r="N532" s="1980"/>
      <c r="O532" s="1981"/>
      <c r="P532" s="1980"/>
      <c r="Q532" s="1980"/>
      <c r="R532" s="1980"/>
      <c r="S532" s="1980"/>
      <c r="T532" s="1980"/>
      <c r="U532" s="1980"/>
      <c r="V532" s="1980"/>
    </row>
    <row r="533" spans="12:22" ht="15">
      <c r="L533" s="1979"/>
      <c r="M533" s="1980"/>
      <c r="N533" s="1980"/>
      <c r="O533" s="1981"/>
      <c r="P533" s="1980"/>
      <c r="Q533" s="1980"/>
      <c r="R533" s="1980"/>
      <c r="S533" s="1980"/>
      <c r="T533" s="1980"/>
      <c r="U533" s="1980"/>
      <c r="V533" s="1980"/>
    </row>
    <row r="534" spans="12:22" ht="15">
      <c r="L534" s="1979"/>
      <c r="M534" s="1980"/>
      <c r="N534" s="1980"/>
      <c r="O534" s="1981"/>
      <c r="P534" s="1980"/>
      <c r="Q534" s="1980"/>
      <c r="R534" s="1980"/>
      <c r="S534" s="1980"/>
      <c r="T534" s="1980"/>
      <c r="U534" s="1980"/>
      <c r="V534" s="1980"/>
    </row>
    <row r="535" spans="12:22" ht="15">
      <c r="L535" s="1979"/>
      <c r="M535" s="1980"/>
      <c r="N535" s="1980"/>
      <c r="O535" s="1981"/>
      <c r="P535" s="1980"/>
      <c r="Q535" s="1980"/>
      <c r="R535" s="1980"/>
      <c r="S535" s="1980"/>
      <c r="T535" s="1980"/>
      <c r="U535" s="1980"/>
      <c r="V535" s="1980"/>
    </row>
    <row r="536" spans="12:22" ht="15">
      <c r="L536" s="1979"/>
      <c r="M536" s="1980"/>
      <c r="N536" s="1980"/>
      <c r="O536" s="1981"/>
      <c r="P536" s="1980"/>
      <c r="Q536" s="1980"/>
      <c r="R536" s="1980"/>
      <c r="S536" s="1980"/>
      <c r="T536" s="1980"/>
      <c r="U536" s="1980"/>
      <c r="V536" s="1980"/>
    </row>
    <row r="537" spans="12:22" ht="15">
      <c r="L537" s="1979"/>
      <c r="M537" s="1980"/>
      <c r="N537" s="1980"/>
      <c r="O537" s="1981"/>
      <c r="P537" s="1980"/>
      <c r="Q537" s="1980"/>
      <c r="R537" s="1980"/>
      <c r="S537" s="1980"/>
      <c r="T537" s="1980"/>
      <c r="U537" s="1980"/>
      <c r="V537" s="1980"/>
    </row>
    <row r="538" spans="12:22" ht="15">
      <c r="L538" s="1979"/>
      <c r="M538" s="1980"/>
      <c r="N538" s="1980"/>
      <c r="O538" s="1981"/>
      <c r="P538" s="1980"/>
      <c r="Q538" s="1980"/>
      <c r="R538" s="1980"/>
      <c r="S538" s="1980"/>
      <c r="T538" s="1980"/>
      <c r="U538" s="1980"/>
      <c r="V538" s="1980"/>
    </row>
    <row r="539" spans="12:22" ht="15">
      <c r="L539" s="1979"/>
      <c r="M539" s="1980"/>
      <c r="N539" s="1980"/>
      <c r="O539" s="1981"/>
      <c r="P539" s="1980"/>
      <c r="Q539" s="1980"/>
      <c r="R539" s="1980"/>
      <c r="S539" s="1980"/>
      <c r="T539" s="1980"/>
      <c r="U539" s="1980"/>
      <c r="V539" s="1980"/>
    </row>
    <row r="540" spans="12:22" ht="15">
      <c r="L540" s="1979"/>
      <c r="M540" s="1980"/>
      <c r="N540" s="1980"/>
      <c r="O540" s="1981"/>
      <c r="P540" s="1980"/>
      <c r="Q540" s="1980"/>
      <c r="R540" s="1980"/>
      <c r="S540" s="1980"/>
      <c r="T540" s="1980"/>
      <c r="U540" s="1980"/>
      <c r="V540" s="1980"/>
    </row>
    <row r="541" spans="12:22" ht="15">
      <c r="L541" s="1979"/>
      <c r="M541" s="1980"/>
      <c r="N541" s="1980"/>
      <c r="O541" s="1981"/>
      <c r="P541" s="1980"/>
      <c r="Q541" s="1980"/>
      <c r="R541" s="1980"/>
      <c r="S541" s="1980"/>
      <c r="T541" s="1980"/>
      <c r="U541" s="1980"/>
      <c r="V541" s="1980"/>
    </row>
    <row r="542" spans="12:22" ht="15">
      <c r="L542" s="1979"/>
      <c r="M542" s="1980"/>
      <c r="N542" s="1980"/>
      <c r="O542" s="1981"/>
      <c r="P542" s="1980"/>
      <c r="Q542" s="1980"/>
      <c r="R542" s="1980"/>
      <c r="S542" s="1980"/>
      <c r="T542" s="1980"/>
      <c r="U542" s="1980"/>
      <c r="V542" s="1980"/>
    </row>
    <row r="543" spans="12:22" ht="15">
      <c r="L543" s="1979"/>
      <c r="M543" s="1980"/>
      <c r="N543" s="1980"/>
      <c r="O543" s="1981"/>
      <c r="P543" s="1980"/>
      <c r="Q543" s="1980"/>
      <c r="R543" s="1980"/>
      <c r="S543" s="1980"/>
      <c r="T543" s="1980"/>
      <c r="U543" s="1980"/>
      <c r="V543" s="1980"/>
    </row>
    <row r="544" spans="12:22" ht="15">
      <c r="L544" s="1979"/>
      <c r="M544" s="1980"/>
      <c r="N544" s="1980"/>
      <c r="O544" s="1981"/>
      <c r="P544" s="1980"/>
      <c r="Q544" s="1980"/>
      <c r="R544" s="1980"/>
      <c r="S544" s="1980"/>
      <c r="T544" s="1980"/>
      <c r="U544" s="1980"/>
      <c r="V544" s="1980"/>
    </row>
    <row r="545" spans="12:22" ht="15">
      <c r="L545" s="1979"/>
      <c r="M545" s="1980"/>
      <c r="N545" s="1980"/>
      <c r="O545" s="1981"/>
      <c r="P545" s="1980"/>
      <c r="Q545" s="1980"/>
      <c r="R545" s="1980"/>
      <c r="S545" s="1980"/>
      <c r="T545" s="1980"/>
      <c r="U545" s="1980"/>
      <c r="V545" s="1980"/>
    </row>
    <row r="546" spans="12:22" ht="15">
      <c r="L546" s="1979"/>
      <c r="M546" s="1980"/>
      <c r="N546" s="1980"/>
      <c r="O546" s="1981"/>
      <c r="P546" s="1980"/>
      <c r="Q546" s="1980"/>
      <c r="R546" s="1980"/>
      <c r="S546" s="1980"/>
      <c r="T546" s="1980"/>
      <c r="U546" s="1980"/>
      <c r="V546" s="1980"/>
    </row>
    <row r="547" spans="12:22" ht="15">
      <c r="L547" s="1979"/>
      <c r="M547" s="1980"/>
      <c r="N547" s="1980"/>
      <c r="O547" s="1981"/>
      <c r="P547" s="1980"/>
      <c r="Q547" s="1980"/>
      <c r="R547" s="1980"/>
      <c r="S547" s="1980"/>
      <c r="T547" s="1980"/>
      <c r="U547" s="1980"/>
      <c r="V547" s="1980"/>
    </row>
    <row r="548" spans="12:22" ht="15">
      <c r="L548" s="1979"/>
      <c r="M548" s="1980"/>
      <c r="N548" s="1980"/>
      <c r="O548" s="1981"/>
      <c r="P548" s="1980"/>
      <c r="Q548" s="1980"/>
      <c r="R548" s="1980"/>
      <c r="S548" s="1980"/>
      <c r="T548" s="1980"/>
      <c r="U548" s="1980"/>
      <c r="V548" s="1980"/>
    </row>
    <row r="549" spans="12:22" ht="15">
      <c r="L549" s="1979"/>
      <c r="M549" s="1980"/>
      <c r="N549" s="1980"/>
      <c r="O549" s="1981"/>
      <c r="P549" s="1980"/>
      <c r="Q549" s="1980"/>
      <c r="R549" s="1980"/>
      <c r="S549" s="1980"/>
      <c r="T549" s="1980"/>
      <c r="U549" s="1980"/>
      <c r="V549" s="1980"/>
    </row>
    <row r="550" spans="12:22" ht="15">
      <c r="L550" s="1979"/>
      <c r="M550" s="1980"/>
      <c r="N550" s="1980"/>
      <c r="O550" s="1981"/>
      <c r="P550" s="1980"/>
      <c r="Q550" s="1980"/>
      <c r="R550" s="1980"/>
      <c r="S550" s="1980"/>
      <c r="T550" s="1980"/>
      <c r="U550" s="1980"/>
      <c r="V550" s="1980"/>
    </row>
    <row r="551" spans="12:22" ht="15">
      <c r="L551" s="1979"/>
      <c r="M551" s="1980"/>
      <c r="N551" s="1980"/>
      <c r="O551" s="1981"/>
      <c r="P551" s="1980"/>
      <c r="Q551" s="1980"/>
      <c r="R551" s="1980"/>
      <c r="S551" s="1980"/>
      <c r="T551" s="1980"/>
      <c r="U551" s="1980"/>
      <c r="V551" s="1980"/>
    </row>
    <row r="552" spans="12:22" ht="15">
      <c r="L552" s="1979"/>
      <c r="M552" s="1980"/>
      <c r="N552" s="1980"/>
      <c r="O552" s="1981"/>
      <c r="P552" s="1980"/>
      <c r="Q552" s="1980"/>
      <c r="R552" s="1980"/>
      <c r="S552" s="1980"/>
      <c r="T552" s="1980"/>
      <c r="U552" s="1980"/>
      <c r="V552" s="1980"/>
    </row>
    <row r="553" spans="12:22" ht="15">
      <c r="L553" s="1979"/>
      <c r="M553" s="1980"/>
      <c r="N553" s="1980"/>
      <c r="O553" s="1981"/>
      <c r="P553" s="1980"/>
      <c r="Q553" s="1980"/>
      <c r="R553" s="1980"/>
      <c r="S553" s="1980"/>
      <c r="T553" s="1980"/>
      <c r="U553" s="1980"/>
      <c r="V553" s="1980"/>
    </row>
    <row r="554" spans="12:22" ht="15">
      <c r="L554" s="1979"/>
      <c r="M554" s="1980"/>
      <c r="N554" s="1980"/>
      <c r="O554" s="1981"/>
      <c r="P554" s="1980"/>
      <c r="Q554" s="1980"/>
      <c r="R554" s="1980"/>
      <c r="S554" s="1980"/>
      <c r="T554" s="1980"/>
      <c r="U554" s="1980"/>
      <c r="V554" s="1980"/>
    </row>
    <row r="555" spans="12:22" ht="15">
      <c r="L555" s="1979"/>
      <c r="M555" s="1980"/>
      <c r="N555" s="1980"/>
      <c r="O555" s="1981"/>
      <c r="P555" s="1980"/>
      <c r="Q555" s="1980"/>
      <c r="R555" s="1980"/>
      <c r="S555" s="1980"/>
      <c r="T555" s="1980"/>
      <c r="U555" s="1980"/>
      <c r="V555" s="1980"/>
    </row>
    <row r="556" spans="12:22" ht="15">
      <c r="L556" s="1979"/>
      <c r="M556" s="1980"/>
      <c r="N556" s="1980"/>
      <c r="O556" s="1981"/>
      <c r="P556" s="1980"/>
      <c r="Q556" s="1980"/>
      <c r="R556" s="1980"/>
      <c r="S556" s="1980"/>
      <c r="T556" s="1980"/>
      <c r="U556" s="1980"/>
      <c r="V556" s="1980"/>
    </row>
    <row r="557" spans="12:22" ht="15">
      <c r="L557" s="1979"/>
      <c r="M557" s="1980"/>
      <c r="N557" s="1980"/>
      <c r="O557" s="1981"/>
      <c r="P557" s="1980"/>
      <c r="Q557" s="1980"/>
      <c r="R557" s="1980"/>
      <c r="S557" s="1980"/>
      <c r="T557" s="1980"/>
      <c r="U557" s="1980"/>
      <c r="V557" s="1980"/>
    </row>
    <row r="558" spans="12:22" ht="15">
      <c r="L558" s="1979"/>
      <c r="M558" s="1980"/>
      <c r="N558" s="1980"/>
      <c r="O558" s="1981"/>
      <c r="P558" s="1980"/>
      <c r="Q558" s="1980"/>
      <c r="R558" s="1980"/>
      <c r="S558" s="1980"/>
      <c r="T558" s="1980"/>
      <c r="U558" s="1980"/>
      <c r="V558" s="1980"/>
    </row>
    <row r="559" spans="12:22" ht="15">
      <c r="L559" s="1979"/>
      <c r="M559" s="1980"/>
      <c r="N559" s="1980"/>
      <c r="O559" s="1981"/>
      <c r="P559" s="1980"/>
      <c r="Q559" s="1980"/>
      <c r="R559" s="1980"/>
      <c r="S559" s="1980"/>
      <c r="T559" s="1980"/>
      <c r="U559" s="1980"/>
      <c r="V559" s="1980"/>
    </row>
    <row r="560" spans="12:22" ht="15">
      <c r="L560" s="1979"/>
      <c r="M560" s="1980"/>
      <c r="N560" s="1980"/>
      <c r="O560" s="1981"/>
      <c r="P560" s="1980"/>
      <c r="Q560" s="1980"/>
      <c r="R560" s="1980"/>
      <c r="S560" s="1980"/>
      <c r="T560" s="1980"/>
      <c r="U560" s="1980"/>
      <c r="V560" s="1980"/>
    </row>
    <row r="561" spans="12:22" ht="15">
      <c r="L561" s="1979"/>
      <c r="M561" s="1980"/>
      <c r="N561" s="1980"/>
      <c r="O561" s="1981"/>
      <c r="P561" s="1980"/>
      <c r="Q561" s="1980"/>
      <c r="R561" s="1980"/>
      <c r="S561" s="1980"/>
      <c r="T561" s="1980"/>
      <c r="U561" s="1980"/>
      <c r="V561" s="1980"/>
    </row>
    <row r="562" spans="12:22" ht="15">
      <c r="L562" s="1979"/>
      <c r="M562" s="1980"/>
      <c r="N562" s="1980"/>
      <c r="O562" s="1981"/>
      <c r="P562" s="1980"/>
      <c r="Q562" s="1980"/>
      <c r="R562" s="1980"/>
      <c r="S562" s="1980"/>
      <c r="T562" s="1980"/>
      <c r="U562" s="1980"/>
      <c r="V562" s="1980"/>
    </row>
    <row r="563" spans="12:22" ht="15">
      <c r="L563" s="1979"/>
      <c r="M563" s="1980"/>
      <c r="N563" s="1980"/>
      <c r="O563" s="1981"/>
      <c r="P563" s="1980"/>
      <c r="Q563" s="1980"/>
      <c r="R563" s="1980"/>
      <c r="S563" s="1980"/>
      <c r="T563" s="1980"/>
      <c r="U563" s="1980"/>
      <c r="V563" s="1980"/>
    </row>
    <row r="564" spans="12:22" ht="15">
      <c r="L564" s="1979"/>
      <c r="M564" s="1980"/>
      <c r="N564" s="1980"/>
      <c r="O564" s="1981"/>
      <c r="P564" s="1980"/>
      <c r="Q564" s="1980"/>
      <c r="R564" s="1980"/>
      <c r="S564" s="1980"/>
      <c r="T564" s="1980"/>
      <c r="U564" s="1980"/>
      <c r="V564" s="1980"/>
    </row>
    <row r="565" spans="12:22" ht="15">
      <c r="L565" s="1979"/>
      <c r="M565" s="1980"/>
      <c r="N565" s="1980"/>
      <c r="O565" s="1981"/>
      <c r="P565" s="1980"/>
      <c r="Q565" s="1980"/>
      <c r="R565" s="1980"/>
      <c r="S565" s="1980"/>
      <c r="T565" s="1980"/>
      <c r="U565" s="1980"/>
      <c r="V565" s="1980"/>
    </row>
    <row r="566" spans="12:22" ht="15">
      <c r="L566" s="1979"/>
      <c r="M566" s="1980"/>
      <c r="N566" s="1980"/>
      <c r="O566" s="1981"/>
      <c r="P566" s="1980"/>
      <c r="Q566" s="1980"/>
      <c r="R566" s="1980"/>
      <c r="S566" s="1980"/>
      <c r="T566" s="1980"/>
      <c r="U566" s="1980"/>
      <c r="V566" s="1980"/>
    </row>
    <row r="567" spans="12:22" ht="15">
      <c r="L567" s="1979"/>
      <c r="M567" s="1980"/>
      <c r="N567" s="1980"/>
      <c r="O567" s="1981"/>
      <c r="P567" s="1980"/>
      <c r="Q567" s="1980"/>
      <c r="R567" s="1980"/>
      <c r="S567" s="1980"/>
      <c r="T567" s="1980"/>
      <c r="U567" s="1980"/>
      <c r="V567" s="1980"/>
    </row>
    <row r="568" spans="12:22" ht="15">
      <c r="L568" s="1979"/>
      <c r="M568" s="1980"/>
      <c r="N568" s="1980"/>
      <c r="O568" s="1981"/>
      <c r="P568" s="1980"/>
      <c r="Q568" s="1980"/>
      <c r="R568" s="1980"/>
      <c r="S568" s="1980"/>
      <c r="T568" s="1980"/>
      <c r="U568" s="1980"/>
      <c r="V568" s="1980"/>
    </row>
    <row r="569" spans="12:22" ht="15">
      <c r="L569" s="1979"/>
      <c r="M569" s="1980"/>
      <c r="N569" s="1980"/>
      <c r="O569" s="1981"/>
      <c r="P569" s="1980"/>
      <c r="Q569" s="1980"/>
      <c r="R569" s="1980"/>
      <c r="S569" s="1980"/>
      <c r="T569" s="1980"/>
      <c r="U569" s="1980"/>
      <c r="V569" s="1980"/>
    </row>
    <row r="570" spans="12:22" ht="15">
      <c r="L570" s="1979"/>
      <c r="M570" s="1980"/>
      <c r="N570" s="1980"/>
      <c r="O570" s="1981"/>
      <c r="P570" s="1980"/>
      <c r="Q570" s="1980"/>
      <c r="R570" s="1980"/>
      <c r="S570" s="1980"/>
      <c r="T570" s="1980"/>
      <c r="U570" s="1980"/>
      <c r="V570" s="1980"/>
    </row>
    <row r="571" spans="12:22" ht="15">
      <c r="L571" s="1979"/>
      <c r="M571" s="1980"/>
      <c r="N571" s="1980"/>
      <c r="O571" s="1981"/>
      <c r="P571" s="1980"/>
      <c r="Q571" s="1980"/>
      <c r="R571" s="1980"/>
      <c r="S571" s="1980"/>
      <c r="T571" s="1980"/>
      <c r="U571" s="1980"/>
      <c r="V571" s="1980"/>
    </row>
    <row r="572" spans="12:22" ht="15">
      <c r="L572" s="1979"/>
      <c r="M572" s="1980"/>
      <c r="N572" s="1980"/>
      <c r="O572" s="1981"/>
      <c r="P572" s="1980"/>
      <c r="Q572" s="1980"/>
      <c r="R572" s="1980"/>
      <c r="S572" s="1980"/>
      <c r="T572" s="1980"/>
      <c r="U572" s="1980"/>
      <c r="V572" s="1980"/>
    </row>
    <row r="573" spans="12:22" ht="15">
      <c r="L573" s="1979"/>
      <c r="M573" s="1980"/>
      <c r="N573" s="1980"/>
      <c r="O573" s="1981"/>
      <c r="P573" s="1980"/>
      <c r="Q573" s="1980"/>
      <c r="R573" s="1980"/>
      <c r="S573" s="1980"/>
      <c r="T573" s="1980"/>
      <c r="U573" s="1980"/>
      <c r="V573" s="1980"/>
    </row>
    <row r="574" spans="12:22" ht="15">
      <c r="L574" s="1979"/>
      <c r="M574" s="1980"/>
      <c r="N574" s="1980"/>
      <c r="O574" s="1981"/>
      <c r="P574" s="1980"/>
      <c r="Q574" s="1980"/>
      <c r="R574" s="1980"/>
      <c r="S574" s="1980"/>
      <c r="T574" s="1980"/>
      <c r="U574" s="1980"/>
      <c r="V574" s="1980"/>
    </row>
    <row r="575" spans="12:22" ht="15">
      <c r="L575" s="1979"/>
      <c r="M575" s="1980"/>
      <c r="N575" s="1980"/>
      <c r="O575" s="1981"/>
      <c r="P575" s="1980"/>
      <c r="Q575" s="1980"/>
      <c r="R575" s="1980"/>
      <c r="S575" s="1980"/>
      <c r="T575" s="1980"/>
      <c r="U575" s="1980"/>
      <c r="V575" s="1980"/>
    </row>
    <row r="576" spans="12:22" ht="15">
      <c r="L576" s="1979"/>
      <c r="M576" s="1980"/>
      <c r="N576" s="1980"/>
      <c r="O576" s="1981"/>
      <c r="P576" s="1980"/>
      <c r="Q576" s="1980"/>
      <c r="R576" s="1980"/>
      <c r="S576" s="1980"/>
      <c r="T576" s="1980"/>
      <c r="U576" s="1980"/>
      <c r="V576" s="1980"/>
    </row>
    <row r="577" spans="12:22" ht="15">
      <c r="L577" s="1979"/>
      <c r="M577" s="1980"/>
      <c r="N577" s="1980"/>
      <c r="O577" s="1981"/>
      <c r="P577" s="1980"/>
      <c r="Q577" s="1980"/>
      <c r="R577" s="1980"/>
      <c r="S577" s="1980"/>
      <c r="T577" s="1980"/>
      <c r="U577" s="1980"/>
      <c r="V577" s="1980"/>
    </row>
    <row r="578" spans="12:22" ht="15">
      <c r="L578" s="1979"/>
      <c r="M578" s="1980"/>
      <c r="N578" s="1980"/>
      <c r="O578" s="1981"/>
      <c r="P578" s="1980"/>
      <c r="Q578" s="1980"/>
      <c r="R578" s="1980"/>
      <c r="S578" s="1980"/>
      <c r="T578" s="1980"/>
      <c r="U578" s="1980"/>
      <c r="V578" s="1980"/>
    </row>
    <row r="579" spans="12:22" ht="15">
      <c r="L579" s="1979"/>
      <c r="M579" s="1980"/>
      <c r="N579" s="1980"/>
      <c r="O579" s="1981"/>
      <c r="P579" s="1980"/>
      <c r="Q579" s="1980"/>
      <c r="R579" s="1980"/>
      <c r="S579" s="1980"/>
      <c r="T579" s="1980"/>
      <c r="U579" s="1980"/>
      <c r="V579" s="1980"/>
    </row>
    <row r="580" spans="12:22" ht="15">
      <c r="L580" s="1979"/>
      <c r="M580" s="1980"/>
      <c r="N580" s="1980"/>
      <c r="O580" s="1981"/>
      <c r="P580" s="1980"/>
      <c r="Q580" s="1980"/>
      <c r="R580" s="1980"/>
      <c r="S580" s="1980"/>
      <c r="T580" s="1980"/>
      <c r="U580" s="1980"/>
      <c r="V580" s="1980"/>
    </row>
    <row r="581" spans="12:22" ht="15">
      <c r="L581" s="1979"/>
      <c r="M581" s="1980"/>
      <c r="N581" s="1980"/>
      <c r="O581" s="1981"/>
      <c r="P581" s="1980"/>
      <c r="Q581" s="1980"/>
      <c r="R581" s="1980"/>
      <c r="S581" s="1980"/>
      <c r="T581" s="1980"/>
      <c r="U581" s="1980"/>
      <c r="V581" s="1980"/>
    </row>
    <row r="582" spans="12:22" ht="15">
      <c r="L582" s="1979"/>
      <c r="M582" s="1980"/>
      <c r="N582" s="1980"/>
      <c r="O582" s="1981"/>
      <c r="P582" s="1980"/>
      <c r="Q582" s="1980"/>
      <c r="R582" s="1980"/>
      <c r="S582" s="1980"/>
      <c r="T582" s="1980"/>
      <c r="U582" s="1980"/>
      <c r="V582" s="1980"/>
    </row>
    <row r="583" spans="12:22" ht="15">
      <c r="L583" s="1979"/>
      <c r="M583" s="1980"/>
      <c r="N583" s="1980"/>
      <c r="O583" s="1981"/>
      <c r="P583" s="1980"/>
      <c r="Q583" s="1980"/>
      <c r="R583" s="1980"/>
      <c r="S583" s="1980"/>
      <c r="T583" s="1980"/>
      <c r="U583" s="1980"/>
      <c r="V583" s="1980"/>
    </row>
    <row r="584" spans="12:22" ht="15">
      <c r="L584" s="1979"/>
      <c r="M584" s="1980"/>
      <c r="N584" s="1980"/>
      <c r="O584" s="1981"/>
      <c r="P584" s="1980"/>
      <c r="Q584" s="1980"/>
      <c r="R584" s="1980"/>
      <c r="S584" s="1980"/>
      <c r="T584" s="1980"/>
      <c r="U584" s="1980"/>
      <c r="V584" s="1980"/>
    </row>
    <row r="585" spans="12:22" ht="15">
      <c r="L585" s="1979"/>
      <c r="M585" s="1980"/>
      <c r="N585" s="1980"/>
      <c r="O585" s="1981"/>
      <c r="P585" s="1980"/>
      <c r="Q585" s="1980"/>
      <c r="R585" s="1980"/>
      <c r="S585" s="1980"/>
      <c r="T585" s="1980"/>
      <c r="U585" s="1980"/>
      <c r="V585" s="1980"/>
    </row>
    <row r="586" spans="12:22" ht="15">
      <c r="L586" s="1979"/>
      <c r="M586" s="1980"/>
      <c r="N586" s="1980"/>
      <c r="O586" s="1981"/>
      <c r="P586" s="1980"/>
      <c r="Q586" s="1980"/>
      <c r="R586" s="1980"/>
      <c r="S586" s="1980"/>
      <c r="T586" s="1980"/>
      <c r="U586" s="1980"/>
      <c r="V586" s="1980"/>
    </row>
    <row r="587" spans="12:22" ht="15">
      <c r="L587" s="1979"/>
      <c r="M587" s="1980"/>
      <c r="N587" s="1980"/>
      <c r="O587" s="1981"/>
      <c r="P587" s="1980"/>
      <c r="Q587" s="1980"/>
      <c r="R587" s="1980"/>
      <c r="S587" s="1980"/>
      <c r="T587" s="1980"/>
      <c r="U587" s="1980"/>
      <c r="V587" s="1980"/>
    </row>
    <row r="588" spans="12:22" ht="15">
      <c r="L588" s="1979"/>
      <c r="M588" s="1980"/>
      <c r="N588" s="1980"/>
      <c r="O588" s="1981"/>
      <c r="P588" s="1980"/>
      <c r="Q588" s="1980"/>
      <c r="R588" s="1980"/>
      <c r="S588" s="1980"/>
      <c r="T588" s="1980"/>
      <c r="U588" s="1980"/>
      <c r="V588" s="1980"/>
    </row>
    <row r="589" spans="12:22" ht="15">
      <c r="L589" s="1979"/>
      <c r="M589" s="1980"/>
      <c r="N589" s="1980"/>
      <c r="O589" s="1981"/>
      <c r="P589" s="1980"/>
      <c r="Q589" s="1980"/>
      <c r="R589" s="1980"/>
      <c r="S589" s="1980"/>
      <c r="T589" s="1980"/>
      <c r="U589" s="1980"/>
      <c r="V589" s="1980"/>
    </row>
    <row r="590" spans="12:22" ht="15">
      <c r="L590" s="1979"/>
      <c r="M590" s="1980"/>
      <c r="N590" s="1980"/>
      <c r="O590" s="1981"/>
      <c r="P590" s="1980"/>
      <c r="Q590" s="1980"/>
      <c r="R590" s="1980"/>
      <c r="S590" s="1980"/>
      <c r="T590" s="1980"/>
      <c r="U590" s="1980"/>
      <c r="V590" s="1980"/>
    </row>
    <row r="591" spans="12:22" ht="15">
      <c r="L591" s="1979"/>
      <c r="M591" s="1980"/>
      <c r="N591" s="1980"/>
      <c r="O591" s="1981"/>
      <c r="P591" s="1980"/>
      <c r="Q591" s="1980"/>
      <c r="R591" s="1980"/>
      <c r="S591" s="1980"/>
      <c r="T591" s="1980"/>
      <c r="U591" s="1980"/>
      <c r="V591" s="1980"/>
    </row>
    <row r="592" spans="12:22" ht="15">
      <c r="L592" s="1979"/>
      <c r="M592" s="1980"/>
      <c r="N592" s="1980"/>
      <c r="O592" s="1981"/>
      <c r="P592" s="1980"/>
      <c r="Q592" s="1980"/>
      <c r="R592" s="1980"/>
      <c r="S592" s="1980"/>
      <c r="T592" s="1980"/>
      <c r="U592" s="1980"/>
      <c r="V592" s="1980"/>
    </row>
    <row r="593" spans="12:22" ht="15">
      <c r="L593" s="1979"/>
      <c r="M593" s="1980"/>
      <c r="N593" s="1980"/>
      <c r="O593" s="1981"/>
      <c r="P593" s="1980"/>
      <c r="Q593" s="1980"/>
      <c r="R593" s="1980"/>
      <c r="S593" s="1980"/>
      <c r="T593" s="1980"/>
      <c r="U593" s="1980"/>
      <c r="V593" s="1980"/>
    </row>
    <row r="594" spans="12:22" ht="15">
      <c r="L594" s="1979"/>
      <c r="M594" s="1980"/>
      <c r="N594" s="1980"/>
      <c r="O594" s="1981"/>
      <c r="P594" s="1980"/>
      <c r="Q594" s="1980"/>
      <c r="R594" s="1980"/>
      <c r="S594" s="1980"/>
      <c r="T594" s="1980"/>
      <c r="U594" s="1980"/>
      <c r="V594" s="1980"/>
    </row>
    <row r="595" spans="12:22" ht="15">
      <c r="L595" s="1979"/>
      <c r="M595" s="1980"/>
      <c r="N595" s="1980"/>
      <c r="O595" s="1981"/>
      <c r="P595" s="1980"/>
      <c r="Q595" s="1980"/>
      <c r="R595" s="1980"/>
      <c r="S595" s="1980"/>
      <c r="T595" s="1980"/>
      <c r="U595" s="1980"/>
      <c r="V595" s="1980"/>
    </row>
    <row r="596" spans="12:22" ht="15">
      <c r="L596" s="1979"/>
      <c r="M596" s="1980"/>
      <c r="N596" s="1980"/>
      <c r="O596" s="1981"/>
      <c r="P596" s="1980"/>
      <c r="Q596" s="1980"/>
      <c r="R596" s="1980"/>
      <c r="S596" s="1980"/>
      <c r="T596" s="1980"/>
      <c r="U596" s="1980"/>
      <c r="V596" s="1980"/>
    </row>
    <row r="597" spans="12:22" ht="15">
      <c r="L597" s="1979"/>
      <c r="M597" s="1980"/>
      <c r="N597" s="1980"/>
      <c r="O597" s="1981"/>
      <c r="P597" s="1980"/>
      <c r="Q597" s="1980"/>
      <c r="R597" s="1980"/>
      <c r="S597" s="1980"/>
      <c r="T597" s="1980"/>
      <c r="U597" s="1980"/>
      <c r="V597" s="1980"/>
    </row>
    <row r="598" spans="12:22" ht="15">
      <c r="L598" s="1979"/>
      <c r="M598" s="1980"/>
      <c r="N598" s="1980"/>
      <c r="O598" s="1981"/>
      <c r="P598" s="1980"/>
      <c r="Q598" s="1980"/>
      <c r="R598" s="1980"/>
      <c r="S598" s="1980"/>
      <c r="T598" s="1980"/>
      <c r="U598" s="1980"/>
      <c r="V598" s="1980"/>
    </row>
    <row r="599" spans="12:22" ht="15">
      <c r="L599" s="1979"/>
      <c r="M599" s="1980"/>
      <c r="N599" s="1980"/>
      <c r="O599" s="1981"/>
      <c r="P599" s="1980"/>
      <c r="Q599" s="1980"/>
      <c r="R599" s="1980"/>
      <c r="S599" s="1980"/>
      <c r="T599" s="1980"/>
      <c r="U599" s="1980"/>
      <c r="V599" s="1980"/>
    </row>
    <row r="600" spans="12:22" ht="15">
      <c r="L600" s="1979"/>
      <c r="M600" s="1980"/>
      <c r="N600" s="1980"/>
      <c r="O600" s="1981"/>
      <c r="P600" s="1980"/>
      <c r="Q600" s="1980"/>
      <c r="R600" s="1980"/>
      <c r="S600" s="1980"/>
      <c r="T600" s="1980"/>
      <c r="U600" s="1980"/>
      <c r="V600" s="1980"/>
    </row>
    <row r="601" spans="12:22" ht="15">
      <c r="L601" s="1979"/>
      <c r="M601" s="1980"/>
      <c r="N601" s="1980"/>
      <c r="O601" s="1981"/>
      <c r="P601" s="1980"/>
      <c r="Q601" s="1980"/>
      <c r="R601" s="1980"/>
      <c r="S601" s="1980"/>
      <c r="T601" s="1980"/>
      <c r="U601" s="1980"/>
      <c r="V601" s="1980"/>
    </row>
    <row r="602" spans="12:22" ht="15">
      <c r="L602" s="1979"/>
      <c r="M602" s="1980"/>
      <c r="N602" s="1980"/>
      <c r="O602" s="1981"/>
      <c r="P602" s="1980"/>
      <c r="Q602" s="1980"/>
      <c r="R602" s="1980"/>
      <c r="S602" s="1980"/>
      <c r="T602" s="1980"/>
      <c r="U602" s="1980"/>
      <c r="V602" s="1980"/>
    </row>
    <row r="603" spans="12:22" ht="15">
      <c r="L603" s="1979"/>
      <c r="M603" s="1980"/>
      <c r="N603" s="1980"/>
      <c r="O603" s="1981"/>
      <c r="P603" s="1980"/>
      <c r="Q603" s="1980"/>
      <c r="R603" s="1980"/>
      <c r="S603" s="1980"/>
      <c r="T603" s="1980"/>
      <c r="U603" s="1980"/>
      <c r="V603" s="1980"/>
    </row>
    <row r="604" spans="12:22" ht="15">
      <c r="L604" s="1979"/>
      <c r="M604" s="1980"/>
      <c r="N604" s="1980"/>
      <c r="O604" s="1981"/>
      <c r="P604" s="1980"/>
      <c r="Q604" s="1980"/>
      <c r="R604" s="1980"/>
      <c r="S604" s="1980"/>
      <c r="T604" s="1980"/>
      <c r="U604" s="1980"/>
      <c r="V604" s="1980"/>
    </row>
    <row r="605" spans="12:22" ht="15">
      <c r="L605" s="1979"/>
      <c r="M605" s="1980"/>
      <c r="N605" s="1980"/>
      <c r="O605" s="1981"/>
      <c r="P605" s="1980"/>
      <c r="Q605" s="1980"/>
      <c r="R605" s="1980"/>
      <c r="S605" s="1980"/>
      <c r="T605" s="1980"/>
      <c r="U605" s="1980"/>
      <c r="V605" s="1980"/>
    </row>
    <row r="606" spans="12:22" ht="15">
      <c r="L606" s="1979"/>
      <c r="M606" s="1980"/>
      <c r="N606" s="1980"/>
      <c r="O606" s="1981"/>
      <c r="P606" s="1980"/>
      <c r="Q606" s="1980"/>
      <c r="R606" s="1980"/>
      <c r="S606" s="1980"/>
      <c r="T606" s="1980"/>
      <c r="U606" s="1980"/>
      <c r="V606" s="1980"/>
    </row>
    <row r="607" spans="12:22" ht="15">
      <c r="L607" s="1979"/>
      <c r="M607" s="1980"/>
      <c r="N607" s="1980"/>
      <c r="O607" s="1981"/>
      <c r="P607" s="1980"/>
      <c r="Q607" s="1980"/>
      <c r="R607" s="1980"/>
      <c r="S607" s="1980"/>
      <c r="T607" s="1980"/>
      <c r="U607" s="1980"/>
      <c r="V607" s="1980"/>
    </row>
    <row r="608" spans="12:22" ht="15">
      <c r="L608" s="1979"/>
      <c r="M608" s="1980"/>
      <c r="N608" s="1980"/>
      <c r="O608" s="1981"/>
      <c r="P608" s="1980"/>
      <c r="Q608" s="1980"/>
      <c r="R608" s="1980"/>
      <c r="S608" s="1980"/>
      <c r="T608" s="1980"/>
      <c r="U608" s="1980"/>
      <c r="V608" s="1980"/>
    </row>
    <row r="609" spans="12:22" ht="15">
      <c r="L609" s="1979"/>
      <c r="M609" s="1980"/>
      <c r="N609" s="1980"/>
      <c r="O609" s="1981"/>
      <c r="P609" s="1980"/>
      <c r="Q609" s="1980"/>
      <c r="R609" s="1980"/>
      <c r="S609" s="1980"/>
      <c r="T609" s="1980"/>
      <c r="U609" s="1980"/>
      <c r="V609" s="1980"/>
    </row>
    <row r="610" spans="12:22" ht="15">
      <c r="L610" s="1979"/>
      <c r="M610" s="1980"/>
      <c r="N610" s="1980"/>
      <c r="O610" s="1981"/>
      <c r="P610" s="1980"/>
      <c r="Q610" s="1980"/>
      <c r="R610" s="1980"/>
      <c r="S610" s="1980"/>
      <c r="T610" s="1980"/>
      <c r="U610" s="1980"/>
      <c r="V610" s="1980"/>
    </row>
    <row r="611" spans="12:22" ht="15">
      <c r="L611" s="1979"/>
      <c r="M611" s="1980"/>
      <c r="N611" s="1980"/>
      <c r="O611" s="1981"/>
      <c r="P611" s="1980"/>
      <c r="Q611" s="1980"/>
      <c r="R611" s="1980"/>
      <c r="S611" s="1980"/>
      <c r="T611" s="1980"/>
      <c r="U611" s="1980"/>
      <c r="V611" s="1980"/>
    </row>
    <row r="612" spans="12:22" ht="15">
      <c r="L612" s="1979"/>
      <c r="M612" s="1980"/>
      <c r="N612" s="1980"/>
      <c r="O612" s="1981"/>
      <c r="P612" s="1980"/>
      <c r="Q612" s="1980"/>
      <c r="R612" s="1980"/>
      <c r="S612" s="1980"/>
      <c r="T612" s="1980"/>
      <c r="U612" s="1980"/>
      <c r="V612" s="1980"/>
    </row>
    <row r="613" spans="12:22" ht="15">
      <c r="L613" s="1979"/>
      <c r="M613" s="1980"/>
      <c r="N613" s="1980"/>
      <c r="O613" s="1981"/>
      <c r="P613" s="1980"/>
      <c r="Q613" s="1980"/>
      <c r="R613" s="1980"/>
      <c r="S613" s="1980"/>
      <c r="T613" s="1980"/>
      <c r="U613" s="1980"/>
      <c r="V613" s="1980"/>
    </row>
    <row r="614" spans="12:22" ht="15">
      <c r="L614" s="1979"/>
      <c r="M614" s="1980"/>
      <c r="N614" s="1980"/>
      <c r="O614" s="1981"/>
      <c r="P614" s="1980"/>
      <c r="Q614" s="1980"/>
      <c r="R614" s="1980"/>
      <c r="S614" s="1980"/>
      <c r="T614" s="1980"/>
      <c r="U614" s="1980"/>
      <c r="V614" s="1980"/>
    </row>
    <row r="615" spans="12:22" ht="15">
      <c r="L615" s="1979"/>
      <c r="M615" s="1980"/>
      <c r="N615" s="1980"/>
      <c r="O615" s="1981"/>
      <c r="P615" s="1980"/>
      <c r="Q615" s="1980"/>
      <c r="R615" s="1980"/>
      <c r="S615" s="1980"/>
      <c r="T615" s="1980"/>
      <c r="U615" s="1980"/>
      <c r="V615" s="1980"/>
    </row>
    <row r="616" spans="12:22" ht="15">
      <c r="L616" s="1979"/>
      <c r="M616" s="1980"/>
      <c r="N616" s="1980"/>
      <c r="O616" s="1981"/>
      <c r="P616" s="1980"/>
      <c r="Q616" s="1980"/>
      <c r="R616" s="1980"/>
      <c r="S616" s="1980"/>
      <c r="T616" s="1980"/>
      <c r="U616" s="1980"/>
      <c r="V616" s="1980"/>
    </row>
    <row r="617" spans="12:22" ht="15">
      <c r="L617" s="1979"/>
      <c r="M617" s="1980"/>
      <c r="N617" s="1980"/>
      <c r="O617" s="1981"/>
      <c r="P617" s="1980"/>
      <c r="Q617" s="1980"/>
      <c r="R617" s="1980"/>
      <c r="S617" s="1980"/>
      <c r="T617" s="1980"/>
      <c r="U617" s="1980"/>
      <c r="V617" s="1980"/>
    </row>
    <row r="618" spans="12:22" ht="15">
      <c r="L618" s="1979"/>
      <c r="M618" s="1980"/>
      <c r="N618" s="1980"/>
      <c r="O618" s="1981"/>
      <c r="P618" s="1980"/>
      <c r="Q618" s="1980"/>
      <c r="R618" s="1980"/>
      <c r="S618" s="1980"/>
      <c r="T618" s="1980"/>
      <c r="U618" s="1980"/>
      <c r="V618" s="1980"/>
    </row>
    <row r="619" spans="12:22" ht="15">
      <c r="L619" s="1979"/>
      <c r="M619" s="1980"/>
      <c r="N619" s="1980"/>
      <c r="O619" s="1981"/>
      <c r="P619" s="1980"/>
      <c r="Q619" s="1980"/>
      <c r="R619" s="1980"/>
      <c r="S619" s="1980"/>
      <c r="T619" s="1980"/>
      <c r="U619" s="1980"/>
      <c r="V619" s="1980"/>
    </row>
    <row r="620" spans="12:22" ht="15">
      <c r="L620" s="1979"/>
      <c r="M620" s="1980"/>
      <c r="N620" s="1980"/>
      <c r="O620" s="1981"/>
      <c r="P620" s="1980"/>
      <c r="Q620" s="1980"/>
      <c r="R620" s="1980"/>
      <c r="S620" s="1980"/>
      <c r="T620" s="1980"/>
      <c r="U620" s="1980"/>
      <c r="V620" s="1980"/>
    </row>
    <row r="621" spans="12:22" ht="15">
      <c r="L621" s="1979"/>
      <c r="M621" s="1980"/>
      <c r="N621" s="1980"/>
      <c r="O621" s="1981"/>
      <c r="P621" s="1980"/>
      <c r="Q621" s="1980"/>
      <c r="R621" s="1980"/>
      <c r="S621" s="1980"/>
      <c r="T621" s="1980"/>
      <c r="U621" s="1980"/>
      <c r="V621" s="1980"/>
    </row>
    <row r="622" spans="12:22" ht="15">
      <c r="L622" s="1979"/>
      <c r="M622" s="1980"/>
      <c r="N622" s="1980"/>
      <c r="O622" s="1981"/>
      <c r="P622" s="1980"/>
      <c r="Q622" s="1980"/>
      <c r="R622" s="1980"/>
      <c r="S622" s="1980"/>
      <c r="T622" s="1980"/>
      <c r="U622" s="1980"/>
      <c r="V622" s="1980"/>
    </row>
    <row r="623" spans="12:22" ht="15">
      <c r="L623" s="1979"/>
      <c r="M623" s="1980"/>
      <c r="N623" s="1980"/>
      <c r="O623" s="1981"/>
      <c r="P623" s="1980"/>
      <c r="Q623" s="1980"/>
      <c r="R623" s="1980"/>
      <c r="S623" s="1980"/>
      <c r="T623" s="1980"/>
      <c r="U623" s="1980"/>
      <c r="V623" s="1980"/>
    </row>
    <row r="624" spans="12:22" ht="15">
      <c r="L624" s="1979"/>
      <c r="M624" s="1980"/>
      <c r="N624" s="1980"/>
      <c r="O624" s="1981"/>
      <c r="P624" s="1980"/>
      <c r="Q624" s="1980"/>
      <c r="R624" s="1980"/>
      <c r="S624" s="1980"/>
      <c r="T624" s="1980"/>
      <c r="U624" s="1980"/>
      <c r="V624" s="1980"/>
    </row>
    <row r="625" spans="12:22" ht="15">
      <c r="L625" s="1979"/>
      <c r="M625" s="1980"/>
      <c r="N625" s="1980"/>
      <c r="O625" s="1981"/>
      <c r="P625" s="1980"/>
      <c r="Q625" s="1980"/>
      <c r="R625" s="1980"/>
      <c r="S625" s="1980"/>
      <c r="T625" s="1980"/>
      <c r="U625" s="1980"/>
      <c r="V625" s="1980"/>
    </row>
    <row r="626" spans="12:22" ht="15">
      <c r="L626" s="1979"/>
      <c r="M626" s="1980"/>
      <c r="N626" s="1980"/>
      <c r="O626" s="1981"/>
      <c r="P626" s="1980"/>
      <c r="Q626" s="1980"/>
      <c r="R626" s="1980"/>
      <c r="S626" s="1980"/>
      <c r="T626" s="1980"/>
      <c r="U626" s="1980"/>
      <c r="V626" s="1980"/>
    </row>
    <row r="627" spans="12:22" ht="15">
      <c r="L627" s="1979"/>
      <c r="M627" s="1980"/>
      <c r="N627" s="1980"/>
      <c r="O627" s="1981"/>
      <c r="P627" s="1980"/>
      <c r="Q627" s="1980"/>
      <c r="R627" s="1980"/>
      <c r="S627" s="1980"/>
      <c r="T627" s="1980"/>
      <c r="U627" s="1980"/>
      <c r="V627" s="1980"/>
    </row>
    <row r="628" spans="12:22" ht="15">
      <c r="L628" s="1979"/>
      <c r="M628" s="1980"/>
      <c r="N628" s="1980"/>
      <c r="O628" s="1981"/>
      <c r="P628" s="1980"/>
      <c r="Q628" s="1980"/>
      <c r="R628" s="1980"/>
      <c r="S628" s="1980"/>
      <c r="T628" s="1980"/>
      <c r="U628" s="1980"/>
      <c r="V628" s="1980"/>
    </row>
    <row r="629" spans="12:22" ht="15">
      <c r="L629" s="1979"/>
      <c r="M629" s="1980"/>
      <c r="N629" s="1980"/>
      <c r="O629" s="1981"/>
      <c r="P629" s="1980"/>
      <c r="Q629" s="1980"/>
      <c r="R629" s="1980"/>
      <c r="S629" s="1980"/>
      <c r="T629" s="1980"/>
      <c r="U629" s="1980"/>
      <c r="V629" s="1980"/>
    </row>
    <row r="630" spans="12:22" ht="15">
      <c r="L630" s="1979"/>
      <c r="M630" s="1980"/>
      <c r="N630" s="1980"/>
      <c r="O630" s="1981"/>
      <c r="P630" s="1980"/>
      <c r="Q630" s="1980"/>
      <c r="R630" s="1980"/>
      <c r="S630" s="1980"/>
      <c r="T630" s="1980"/>
      <c r="U630" s="1980"/>
      <c r="V630" s="1980"/>
    </row>
    <row r="631" spans="12:22" ht="15">
      <c r="L631" s="1979"/>
      <c r="M631" s="1980"/>
      <c r="N631" s="1980"/>
      <c r="O631" s="1981"/>
      <c r="P631" s="1980"/>
      <c r="Q631" s="1980"/>
      <c r="R631" s="1980"/>
      <c r="S631" s="1980"/>
      <c r="T631" s="1980"/>
      <c r="U631" s="1980"/>
      <c r="V631" s="1980"/>
    </row>
    <row r="632" spans="12:22" ht="15">
      <c r="L632" s="1979"/>
      <c r="M632" s="1980"/>
      <c r="N632" s="1980"/>
      <c r="O632" s="1981"/>
      <c r="P632" s="1980"/>
      <c r="Q632" s="1980"/>
      <c r="R632" s="1980"/>
      <c r="S632" s="1980"/>
      <c r="T632" s="1980"/>
      <c r="U632" s="1980"/>
      <c r="V632" s="1980"/>
    </row>
    <row r="633" spans="12:22" ht="15">
      <c r="L633" s="1979"/>
      <c r="M633" s="1980"/>
      <c r="N633" s="1980"/>
      <c r="O633" s="1981"/>
      <c r="P633" s="1980"/>
      <c r="Q633" s="1980"/>
      <c r="R633" s="1980"/>
      <c r="S633" s="1980"/>
      <c r="T633" s="1980"/>
      <c r="U633" s="1980"/>
      <c r="V633" s="1980"/>
    </row>
    <row r="634" spans="12:22" ht="15">
      <c r="L634" s="1979"/>
      <c r="M634" s="1980"/>
      <c r="N634" s="1980"/>
      <c r="O634" s="1981"/>
      <c r="P634" s="1980"/>
      <c r="Q634" s="1980"/>
      <c r="R634" s="1980"/>
      <c r="S634" s="1980"/>
      <c r="T634" s="1980"/>
      <c r="U634" s="1980"/>
      <c r="V634" s="1980"/>
    </row>
    <row r="635" spans="12:22" ht="15">
      <c r="L635" s="1979"/>
      <c r="M635" s="1980"/>
      <c r="N635" s="1980"/>
      <c r="O635" s="1981"/>
      <c r="P635" s="1980"/>
      <c r="Q635" s="1980"/>
      <c r="R635" s="1980"/>
      <c r="S635" s="1980"/>
      <c r="T635" s="1980"/>
      <c r="U635" s="1980"/>
      <c r="V635" s="1980"/>
    </row>
    <row r="636" spans="12:22" ht="15">
      <c r="L636" s="1979"/>
      <c r="M636" s="1980"/>
      <c r="N636" s="1980"/>
      <c r="O636" s="1981"/>
      <c r="P636" s="1980"/>
      <c r="Q636" s="1980"/>
      <c r="R636" s="1980"/>
      <c r="S636" s="1980"/>
      <c r="T636" s="1980"/>
      <c r="U636" s="1980"/>
      <c r="V636" s="1980"/>
    </row>
    <row r="637" spans="12:22" ht="15">
      <c r="L637" s="1979"/>
      <c r="M637" s="1980"/>
      <c r="N637" s="1980"/>
      <c r="O637" s="1981"/>
      <c r="P637" s="1980"/>
      <c r="Q637" s="1980"/>
      <c r="R637" s="1980"/>
      <c r="S637" s="1980"/>
      <c r="T637" s="1980"/>
      <c r="U637" s="1980"/>
      <c r="V637" s="1980"/>
    </row>
    <row r="638" spans="12:22" ht="15">
      <c r="L638" s="1979"/>
      <c r="M638" s="1980"/>
      <c r="N638" s="1980"/>
      <c r="O638" s="1981"/>
      <c r="P638" s="1980"/>
      <c r="Q638" s="1980"/>
      <c r="R638" s="1980"/>
      <c r="S638" s="1980"/>
      <c r="T638" s="1980"/>
      <c r="U638" s="1980"/>
      <c r="V638" s="1980"/>
    </row>
    <row r="639" spans="12:22" ht="15">
      <c r="L639" s="1979"/>
      <c r="M639" s="1980"/>
      <c r="N639" s="1980"/>
      <c r="O639" s="1981"/>
      <c r="P639" s="1980"/>
      <c r="Q639" s="1980"/>
      <c r="R639" s="1980"/>
      <c r="S639" s="1980"/>
      <c r="T639" s="1980"/>
      <c r="U639" s="1980"/>
      <c r="V639" s="1980"/>
    </row>
    <row r="640" spans="12:22" ht="15">
      <c r="L640" s="1979"/>
      <c r="M640" s="1980"/>
      <c r="N640" s="1980"/>
      <c r="O640" s="1981"/>
      <c r="P640" s="1980"/>
      <c r="Q640" s="1980"/>
      <c r="R640" s="1980"/>
      <c r="S640" s="1980"/>
      <c r="T640" s="1980"/>
      <c r="U640" s="1980"/>
      <c r="V640" s="1980"/>
    </row>
    <row r="641" spans="12:22" ht="15">
      <c r="L641" s="1979"/>
      <c r="M641" s="1980"/>
      <c r="N641" s="1980"/>
      <c r="O641" s="1981"/>
      <c r="P641" s="1980"/>
      <c r="Q641" s="1980"/>
      <c r="R641" s="1980"/>
      <c r="S641" s="1980"/>
      <c r="T641" s="1980"/>
      <c r="U641" s="1980"/>
      <c r="V641" s="1980"/>
    </row>
    <row r="642" spans="12:22" ht="15">
      <c r="L642" s="1979"/>
      <c r="M642" s="1980"/>
      <c r="N642" s="1980"/>
      <c r="O642" s="1981"/>
      <c r="P642" s="1980"/>
      <c r="Q642" s="1980"/>
      <c r="R642" s="1980"/>
      <c r="S642" s="1980"/>
      <c r="T642" s="1980"/>
      <c r="U642" s="1980"/>
      <c r="V642" s="1980"/>
    </row>
    <row r="643" spans="12:22" ht="15">
      <c r="L643" s="1979"/>
      <c r="M643" s="1980"/>
      <c r="N643" s="1980"/>
      <c r="O643" s="1981"/>
      <c r="P643" s="1980"/>
      <c r="Q643" s="1980"/>
      <c r="R643" s="1980"/>
      <c r="S643" s="1980"/>
      <c r="T643" s="1980"/>
      <c r="U643" s="1980"/>
      <c r="V643" s="1980"/>
    </row>
    <row r="644" spans="12:22" ht="15">
      <c r="L644" s="1979"/>
      <c r="M644" s="1980"/>
      <c r="N644" s="1980"/>
      <c r="O644" s="1981"/>
      <c r="P644" s="1980"/>
      <c r="Q644" s="1980"/>
      <c r="R644" s="1980"/>
      <c r="S644" s="1980"/>
      <c r="T644" s="1980"/>
      <c r="U644" s="1980"/>
      <c r="V644" s="1980"/>
    </row>
    <row r="645" spans="12:22" ht="15">
      <c r="L645" s="1979"/>
      <c r="M645" s="1980"/>
      <c r="N645" s="1980"/>
      <c r="O645" s="1981"/>
      <c r="P645" s="1980"/>
      <c r="Q645" s="1980"/>
      <c r="R645" s="1980"/>
      <c r="S645" s="1980"/>
      <c r="T645" s="1980"/>
      <c r="U645" s="1980"/>
      <c r="V645" s="1980"/>
    </row>
    <row r="646" spans="12:22" ht="15">
      <c r="L646" s="1979"/>
      <c r="M646" s="1980"/>
      <c r="N646" s="1980"/>
      <c r="O646" s="1981"/>
      <c r="P646" s="1980"/>
      <c r="Q646" s="1980"/>
      <c r="R646" s="1980"/>
      <c r="S646" s="1980"/>
      <c r="T646" s="1980"/>
      <c r="U646" s="1980"/>
      <c r="V646" s="1980"/>
    </row>
    <row r="647" spans="12:22" ht="15">
      <c r="L647" s="1979"/>
      <c r="M647" s="1980"/>
      <c r="N647" s="1980"/>
      <c r="O647" s="1981"/>
      <c r="P647" s="1980"/>
      <c r="Q647" s="1980"/>
      <c r="R647" s="1980"/>
      <c r="S647" s="1980"/>
      <c r="T647" s="1980"/>
      <c r="U647" s="1980"/>
      <c r="V647" s="1980"/>
    </row>
    <row r="648" spans="12:22" ht="15">
      <c r="L648" s="1979"/>
      <c r="M648" s="1980"/>
      <c r="N648" s="1980"/>
      <c r="O648" s="1981"/>
      <c r="P648" s="1980"/>
      <c r="Q648" s="1980"/>
      <c r="R648" s="1980"/>
      <c r="S648" s="1980"/>
      <c r="T648" s="1980"/>
      <c r="U648" s="1980"/>
      <c r="V648" s="1980"/>
    </row>
    <row r="649" spans="12:22" ht="15">
      <c r="L649" s="1979"/>
      <c r="M649" s="1980"/>
      <c r="N649" s="1980"/>
      <c r="O649" s="1981"/>
      <c r="P649" s="1980"/>
      <c r="Q649" s="1980"/>
      <c r="R649" s="1980"/>
      <c r="S649" s="1980"/>
      <c r="T649" s="1980"/>
      <c r="U649" s="1980"/>
      <c r="V649" s="1980"/>
    </row>
    <row r="650" spans="12:22" ht="15">
      <c r="L650" s="1979"/>
      <c r="M650" s="1980"/>
      <c r="N650" s="1980"/>
      <c r="O650" s="1981"/>
      <c r="P650" s="1980"/>
      <c r="Q650" s="1980"/>
      <c r="R650" s="1980"/>
      <c r="S650" s="1980"/>
      <c r="T650" s="1980"/>
      <c r="U650" s="1980"/>
      <c r="V650" s="1980"/>
    </row>
    <row r="651" spans="12:22" ht="15">
      <c r="L651" s="1979"/>
      <c r="M651" s="1980"/>
      <c r="N651" s="1980"/>
      <c r="O651" s="1981"/>
      <c r="P651" s="1980"/>
      <c r="Q651" s="1980"/>
      <c r="R651" s="1980"/>
      <c r="S651" s="1980"/>
      <c r="T651" s="1980"/>
      <c r="U651" s="1980"/>
      <c r="V651" s="1980"/>
    </row>
    <row r="652" spans="12:22" ht="15">
      <c r="L652" s="1979"/>
      <c r="M652" s="1980"/>
      <c r="N652" s="1980"/>
      <c r="O652" s="1981"/>
      <c r="P652" s="1980"/>
      <c r="Q652" s="1980"/>
      <c r="R652" s="1980"/>
      <c r="S652" s="1980"/>
      <c r="T652" s="1980"/>
      <c r="U652" s="1980"/>
      <c r="V652" s="1980"/>
    </row>
    <row r="653" spans="12:22" ht="15">
      <c r="L653" s="1979"/>
      <c r="M653" s="1980"/>
      <c r="N653" s="1980"/>
      <c r="O653" s="1981"/>
      <c r="P653" s="1980"/>
      <c r="Q653" s="1980"/>
      <c r="R653" s="1980"/>
      <c r="S653" s="1980"/>
      <c r="T653" s="1980"/>
      <c r="U653" s="1980"/>
      <c r="V653" s="1980"/>
    </row>
    <row r="654" spans="12:22" ht="15">
      <c r="L654" s="1979"/>
      <c r="M654" s="1980"/>
      <c r="N654" s="1980"/>
      <c r="O654" s="1981"/>
      <c r="P654" s="1980"/>
      <c r="Q654" s="1980"/>
      <c r="R654" s="1980"/>
      <c r="S654" s="1980"/>
      <c r="T654" s="1980"/>
      <c r="U654" s="1980"/>
      <c r="V654" s="1980"/>
    </row>
    <row r="655" spans="12:22" ht="15">
      <c r="L655" s="1979"/>
      <c r="M655" s="1980"/>
      <c r="N655" s="1980"/>
      <c r="O655" s="1981"/>
      <c r="P655" s="1980"/>
      <c r="Q655" s="1980"/>
      <c r="R655" s="1980"/>
      <c r="S655" s="1980"/>
      <c r="T655" s="1980"/>
      <c r="U655" s="1980"/>
      <c r="V655" s="1980"/>
    </row>
    <row r="656" spans="12:22" ht="15">
      <c r="L656" s="1979"/>
      <c r="M656" s="1980"/>
      <c r="N656" s="1980"/>
      <c r="O656" s="1981"/>
      <c r="P656" s="1980"/>
      <c r="Q656" s="1980"/>
      <c r="R656" s="1980"/>
      <c r="S656" s="1980"/>
      <c r="T656" s="1980"/>
      <c r="U656" s="1980"/>
      <c r="V656" s="1980"/>
    </row>
    <row r="657" spans="12:22" ht="15">
      <c r="L657" s="1979"/>
      <c r="M657" s="1980"/>
      <c r="N657" s="1980"/>
      <c r="O657" s="1981"/>
      <c r="P657" s="1980"/>
      <c r="Q657" s="1980"/>
      <c r="R657" s="1980"/>
      <c r="S657" s="1980"/>
      <c r="T657" s="1980"/>
      <c r="U657" s="1980"/>
      <c r="V657" s="1980"/>
    </row>
    <row r="658" spans="12:22" ht="15">
      <c r="L658" s="1979"/>
      <c r="M658" s="1980"/>
      <c r="N658" s="1980"/>
      <c r="O658" s="1981"/>
      <c r="P658" s="1980"/>
      <c r="Q658" s="1980"/>
      <c r="R658" s="1980"/>
      <c r="S658" s="1980"/>
      <c r="T658" s="1980"/>
      <c r="U658" s="1980"/>
      <c r="V658" s="1980"/>
    </row>
    <row r="659" spans="12:22" ht="15">
      <c r="L659" s="1979"/>
      <c r="M659" s="1980"/>
      <c r="N659" s="1980"/>
      <c r="O659" s="1981"/>
      <c r="P659" s="1980"/>
      <c r="Q659" s="1980"/>
      <c r="R659" s="1980"/>
      <c r="S659" s="1980"/>
      <c r="T659" s="1980"/>
      <c r="U659" s="1980"/>
      <c r="V659" s="1980"/>
    </row>
    <row r="660" spans="12:22" ht="15">
      <c r="L660" s="1979"/>
      <c r="M660" s="1980"/>
      <c r="N660" s="1980"/>
      <c r="O660" s="1981"/>
      <c r="P660" s="1980"/>
      <c r="Q660" s="1980"/>
      <c r="R660" s="1980"/>
      <c r="S660" s="1980"/>
      <c r="T660" s="1980"/>
      <c r="U660" s="1980"/>
      <c r="V660" s="1980"/>
    </row>
    <row r="661" spans="12:22" ht="15">
      <c r="L661" s="1979"/>
      <c r="M661" s="1980"/>
      <c r="N661" s="1980"/>
      <c r="O661" s="1981"/>
      <c r="P661" s="1980"/>
      <c r="Q661" s="1980"/>
      <c r="R661" s="1980"/>
      <c r="S661" s="1980"/>
      <c r="T661" s="1980"/>
      <c r="U661" s="1980"/>
      <c r="V661" s="1980"/>
    </row>
    <row r="662" spans="12:22" ht="15">
      <c r="L662" s="1979"/>
      <c r="M662" s="1980"/>
      <c r="N662" s="1980"/>
      <c r="O662" s="1981"/>
      <c r="P662" s="1980"/>
      <c r="Q662" s="1980"/>
      <c r="R662" s="1980"/>
      <c r="S662" s="1980"/>
      <c r="T662" s="1980"/>
      <c r="U662" s="1980"/>
      <c r="V662" s="1980"/>
    </row>
    <row r="663" spans="12:22" ht="15">
      <c r="L663" s="1979"/>
      <c r="M663" s="1980"/>
      <c r="N663" s="1980"/>
      <c r="O663" s="1981"/>
      <c r="P663" s="1980"/>
      <c r="Q663" s="1980"/>
      <c r="R663" s="1980"/>
      <c r="S663" s="1980"/>
      <c r="T663" s="1980"/>
      <c r="U663" s="1980"/>
      <c r="V663" s="1980"/>
    </row>
    <row r="664" spans="12:22" ht="15">
      <c r="L664" s="1979"/>
      <c r="M664" s="1980"/>
      <c r="N664" s="1980"/>
      <c r="O664" s="1981"/>
      <c r="P664" s="1980"/>
      <c r="Q664" s="1980"/>
      <c r="R664" s="1980"/>
      <c r="S664" s="1980"/>
      <c r="T664" s="1980"/>
      <c r="U664" s="1980"/>
      <c r="V664" s="1980"/>
    </row>
    <row r="665" spans="12:22" ht="15">
      <c r="L665" s="1979"/>
      <c r="M665" s="1980"/>
      <c r="N665" s="1980"/>
      <c r="O665" s="1981"/>
      <c r="P665" s="1980"/>
      <c r="Q665" s="1980"/>
      <c r="R665" s="1980"/>
      <c r="S665" s="1980"/>
      <c r="T665" s="1980"/>
      <c r="U665" s="1980"/>
      <c r="V665" s="1980"/>
    </row>
    <row r="666" spans="12:22" ht="15">
      <c r="L666" s="1979"/>
      <c r="M666" s="1980"/>
      <c r="N666" s="1980"/>
      <c r="O666" s="1981"/>
      <c r="P666" s="1980"/>
      <c r="Q666" s="1980"/>
      <c r="R666" s="1980"/>
      <c r="S666" s="1980"/>
      <c r="T666" s="1980"/>
      <c r="U666" s="1980"/>
      <c r="V666" s="1980"/>
    </row>
    <row r="667" spans="12:22" ht="15">
      <c r="L667" s="1979"/>
      <c r="M667" s="1980"/>
      <c r="N667" s="1980"/>
      <c r="O667" s="1981"/>
      <c r="P667" s="1980"/>
      <c r="Q667" s="1980"/>
      <c r="R667" s="1980"/>
      <c r="S667" s="1980"/>
      <c r="T667" s="1980"/>
      <c r="U667" s="1980"/>
      <c r="V667" s="1980"/>
    </row>
    <row r="668" spans="12:22" ht="15">
      <c r="L668" s="1979"/>
      <c r="M668" s="1980"/>
      <c r="N668" s="1980"/>
      <c r="O668" s="1981"/>
      <c r="P668" s="1980"/>
      <c r="Q668" s="1980"/>
      <c r="R668" s="1980"/>
      <c r="S668" s="1980"/>
      <c r="T668" s="1980"/>
      <c r="U668" s="1980"/>
      <c r="V668" s="1980"/>
    </row>
    <row r="669" spans="12:22" ht="15">
      <c r="L669" s="1979"/>
      <c r="M669" s="1980"/>
      <c r="N669" s="1980"/>
      <c r="O669" s="1981"/>
      <c r="P669" s="1980"/>
      <c r="Q669" s="1980"/>
      <c r="R669" s="1980"/>
      <c r="S669" s="1980"/>
      <c r="T669" s="1980"/>
      <c r="U669" s="1980"/>
      <c r="V669" s="1980"/>
    </row>
    <row r="670" spans="12:22" ht="15">
      <c r="L670" s="1979"/>
      <c r="M670" s="1980"/>
      <c r="N670" s="1980"/>
      <c r="O670" s="1981"/>
      <c r="P670" s="1980"/>
      <c r="Q670" s="1980"/>
      <c r="R670" s="1980"/>
      <c r="S670" s="1980"/>
      <c r="T670" s="1980"/>
      <c r="U670" s="1980"/>
      <c r="V670" s="1980"/>
    </row>
    <row r="671" spans="12:22" ht="15">
      <c r="L671" s="1979"/>
      <c r="M671" s="1980"/>
      <c r="N671" s="1980"/>
      <c r="O671" s="1981"/>
      <c r="P671" s="1980"/>
      <c r="Q671" s="1980"/>
      <c r="R671" s="1980"/>
      <c r="S671" s="1980"/>
      <c r="T671" s="1980"/>
      <c r="U671" s="1980"/>
      <c r="V671" s="1980"/>
    </row>
    <row r="672" spans="12:22" ht="15">
      <c r="L672" s="1979"/>
      <c r="M672" s="1980"/>
      <c r="N672" s="1980"/>
      <c r="O672" s="1981"/>
      <c r="P672" s="1980"/>
      <c r="Q672" s="1980"/>
      <c r="R672" s="1980"/>
      <c r="S672" s="1980"/>
      <c r="T672" s="1980"/>
      <c r="U672" s="1980"/>
      <c r="V672" s="1980"/>
    </row>
    <row r="673" spans="12:22" ht="15">
      <c r="L673" s="1979"/>
      <c r="M673" s="1980"/>
      <c r="N673" s="1980"/>
      <c r="O673" s="1981"/>
      <c r="P673" s="1980"/>
      <c r="Q673" s="1980"/>
      <c r="R673" s="1980"/>
      <c r="S673" s="1980"/>
      <c r="T673" s="1980"/>
      <c r="U673" s="1980"/>
      <c r="V673" s="1980"/>
    </row>
    <row r="674" spans="12:22" ht="15">
      <c r="L674" s="1979"/>
      <c r="M674" s="1980"/>
      <c r="N674" s="1980"/>
      <c r="O674" s="1981"/>
      <c r="P674" s="1980"/>
      <c r="Q674" s="1980"/>
      <c r="R674" s="1980"/>
      <c r="S674" s="1980"/>
      <c r="T674" s="1980"/>
      <c r="U674" s="1980"/>
      <c r="V674" s="1980"/>
    </row>
    <row r="675" spans="12:22" ht="15">
      <c r="L675" s="1979"/>
      <c r="M675" s="1980"/>
      <c r="N675" s="1980"/>
      <c r="O675" s="1981"/>
      <c r="P675" s="1980"/>
      <c r="Q675" s="1980"/>
      <c r="R675" s="1980"/>
      <c r="S675" s="1980"/>
      <c r="T675" s="1980"/>
      <c r="U675" s="1980"/>
      <c r="V675" s="1980"/>
    </row>
    <row r="676" spans="12:22" ht="15">
      <c r="L676" s="1979"/>
      <c r="M676" s="1980"/>
      <c r="N676" s="1980"/>
      <c r="O676" s="1981"/>
      <c r="P676" s="1980"/>
      <c r="Q676" s="1980"/>
      <c r="R676" s="1980"/>
      <c r="S676" s="1980"/>
      <c r="T676" s="1980"/>
      <c r="U676" s="1980"/>
      <c r="V676" s="1980"/>
    </row>
    <row r="677" spans="12:22" ht="15">
      <c r="L677" s="1979"/>
      <c r="M677" s="1980"/>
      <c r="N677" s="1980"/>
      <c r="O677" s="1981"/>
      <c r="P677" s="1980"/>
      <c r="Q677" s="1980"/>
      <c r="R677" s="1980"/>
      <c r="S677" s="1980"/>
      <c r="T677" s="1980"/>
      <c r="U677" s="1980"/>
      <c r="V677" s="1980"/>
    </row>
    <row r="678" spans="12:22" ht="15">
      <c r="L678" s="1979"/>
      <c r="M678" s="1980"/>
      <c r="N678" s="1980"/>
      <c r="O678" s="1981"/>
      <c r="P678" s="1980"/>
      <c r="Q678" s="1980"/>
      <c r="R678" s="1980"/>
      <c r="S678" s="1980"/>
      <c r="T678" s="1980"/>
      <c r="U678" s="1980"/>
      <c r="V678" s="1980"/>
    </row>
    <row r="679" spans="12:22" ht="15">
      <c r="L679" s="1979"/>
      <c r="M679" s="1980"/>
      <c r="N679" s="1980"/>
      <c r="O679" s="1981"/>
      <c r="P679" s="1980"/>
      <c r="Q679" s="1980"/>
      <c r="R679" s="1980"/>
      <c r="S679" s="1980"/>
      <c r="T679" s="1980"/>
      <c r="U679" s="1980"/>
      <c r="V679" s="1980"/>
    </row>
    <row r="680" spans="12:22" ht="15">
      <c r="L680" s="1979"/>
      <c r="M680" s="1980"/>
      <c r="N680" s="1980"/>
      <c r="O680" s="1981"/>
      <c r="P680" s="1980"/>
      <c r="Q680" s="1980"/>
      <c r="R680" s="1980"/>
      <c r="S680" s="1980"/>
      <c r="T680" s="1980"/>
      <c r="U680" s="1980"/>
      <c r="V680" s="1980"/>
    </row>
    <row r="681" spans="12:22" ht="15">
      <c r="L681" s="1979"/>
      <c r="M681" s="1980"/>
      <c r="N681" s="1980"/>
      <c r="O681" s="1981"/>
      <c r="P681" s="1980"/>
      <c r="Q681" s="1980"/>
      <c r="R681" s="1980"/>
      <c r="S681" s="1980"/>
      <c r="T681" s="1980"/>
      <c r="U681" s="1980"/>
      <c r="V681" s="1980"/>
    </row>
    <row r="682" spans="12:22" ht="15">
      <c r="L682" s="1979"/>
      <c r="M682" s="1980"/>
      <c r="N682" s="1980"/>
      <c r="O682" s="1981"/>
      <c r="P682" s="1980"/>
      <c r="Q682" s="1980"/>
      <c r="R682" s="1980"/>
      <c r="S682" s="1980"/>
      <c r="T682" s="1980"/>
      <c r="U682" s="1980"/>
      <c r="V682" s="1980"/>
    </row>
    <row r="683" spans="12:22" ht="15">
      <c r="L683" s="1979"/>
      <c r="M683" s="1980"/>
      <c r="N683" s="1980"/>
      <c r="O683" s="1981"/>
      <c r="P683" s="1980"/>
      <c r="Q683" s="1980"/>
      <c r="R683" s="1980"/>
      <c r="S683" s="1980"/>
      <c r="T683" s="1980"/>
      <c r="U683" s="1980"/>
      <c r="V683" s="1980"/>
    </row>
    <row r="684" spans="12:22" ht="15">
      <c r="L684" s="1979"/>
      <c r="M684" s="1980"/>
      <c r="N684" s="1980"/>
      <c r="O684" s="1981"/>
      <c r="P684" s="1980"/>
      <c r="Q684" s="1980"/>
      <c r="R684" s="1980"/>
      <c r="S684" s="1980"/>
      <c r="T684" s="1980"/>
      <c r="U684" s="1980"/>
      <c r="V684" s="1980"/>
    </row>
    <row r="685" spans="12:22" ht="15">
      <c r="L685" s="1979"/>
      <c r="M685" s="1980"/>
      <c r="N685" s="1980"/>
      <c r="O685" s="1981"/>
      <c r="P685" s="1980"/>
      <c r="Q685" s="1980"/>
      <c r="R685" s="1980"/>
      <c r="S685" s="1980"/>
      <c r="T685" s="1980"/>
      <c r="U685" s="1980"/>
      <c r="V685" s="1980"/>
    </row>
    <row r="686" spans="12:22" ht="15">
      <c r="L686" s="1979"/>
      <c r="M686" s="1980"/>
      <c r="N686" s="1980"/>
      <c r="O686" s="1981"/>
      <c r="P686" s="1980"/>
      <c r="Q686" s="1980"/>
      <c r="R686" s="1980"/>
      <c r="S686" s="1980"/>
      <c r="T686" s="1980"/>
      <c r="U686" s="1980"/>
      <c r="V686" s="1980"/>
    </row>
    <row r="687" spans="12:22" ht="15">
      <c r="L687" s="1979"/>
      <c r="M687" s="1980"/>
      <c r="N687" s="1980"/>
      <c r="O687" s="1981"/>
      <c r="P687" s="1980"/>
      <c r="Q687" s="1980"/>
      <c r="R687" s="1980"/>
      <c r="S687" s="1980"/>
      <c r="T687" s="1980"/>
      <c r="U687" s="1980"/>
      <c r="V687" s="1980"/>
    </row>
    <row r="688" spans="12:22" ht="15">
      <c r="L688" s="1979"/>
      <c r="M688" s="1980"/>
      <c r="N688" s="1980"/>
      <c r="O688" s="1981"/>
      <c r="P688" s="1980"/>
      <c r="Q688" s="1980"/>
      <c r="R688" s="1980"/>
      <c r="S688" s="1980"/>
      <c r="T688" s="1980"/>
      <c r="U688" s="1980"/>
      <c r="V688" s="1980"/>
    </row>
    <row r="689" spans="12:22" ht="15">
      <c r="L689" s="1979"/>
      <c r="M689" s="1980"/>
      <c r="N689" s="1980"/>
      <c r="O689" s="1981"/>
      <c r="P689" s="1980"/>
      <c r="Q689" s="1980"/>
      <c r="R689" s="1980"/>
      <c r="S689" s="1980"/>
      <c r="T689" s="1980"/>
      <c r="U689" s="1980"/>
      <c r="V689" s="1980"/>
    </row>
    <row r="690" spans="12:22" ht="15">
      <c r="L690" s="1979"/>
      <c r="M690" s="1980"/>
      <c r="N690" s="1980"/>
      <c r="O690" s="1981"/>
      <c r="P690" s="1980"/>
      <c r="Q690" s="1980"/>
      <c r="R690" s="1980"/>
      <c r="S690" s="1980"/>
      <c r="T690" s="1980"/>
      <c r="U690" s="1980"/>
      <c r="V690" s="1980"/>
    </row>
    <row r="691" spans="12:22" ht="15">
      <c r="L691" s="1979"/>
      <c r="M691" s="1980"/>
      <c r="N691" s="1980"/>
      <c r="O691" s="1981"/>
      <c r="P691" s="1980"/>
      <c r="Q691" s="1980"/>
      <c r="R691" s="1980"/>
      <c r="S691" s="1980"/>
      <c r="T691" s="1980"/>
      <c r="U691" s="1980"/>
      <c r="V691" s="1980"/>
    </row>
    <row r="692" spans="12:22" ht="15">
      <c r="L692" s="1979"/>
      <c r="M692" s="1980"/>
      <c r="N692" s="1980"/>
      <c r="O692" s="1981"/>
      <c r="P692" s="1980"/>
      <c r="Q692" s="1980"/>
      <c r="R692" s="1980"/>
      <c r="S692" s="1980"/>
      <c r="T692" s="1980"/>
      <c r="U692" s="1980"/>
      <c r="V692" s="1980"/>
    </row>
    <row r="693" spans="12:22" ht="15">
      <c r="L693" s="1979"/>
      <c r="M693" s="1980"/>
      <c r="N693" s="1980"/>
      <c r="O693" s="1981"/>
      <c r="P693" s="1980"/>
      <c r="Q693" s="1980"/>
      <c r="R693" s="1980"/>
      <c r="S693" s="1980"/>
      <c r="T693" s="1980"/>
      <c r="U693" s="1980"/>
      <c r="V693" s="1980"/>
    </row>
    <row r="694" spans="12:22" ht="15">
      <c r="L694" s="1979"/>
      <c r="M694" s="1980"/>
      <c r="N694" s="1980"/>
      <c r="O694" s="1981"/>
      <c r="P694" s="1980"/>
      <c r="Q694" s="1980"/>
      <c r="R694" s="1980"/>
      <c r="S694" s="1980"/>
      <c r="T694" s="1980"/>
      <c r="U694" s="1980"/>
      <c r="V694" s="1980"/>
    </row>
    <row r="695" spans="12:22" ht="15">
      <c r="L695" s="1979"/>
      <c r="M695" s="1980"/>
      <c r="N695" s="1980"/>
      <c r="O695" s="1981"/>
      <c r="P695" s="1980"/>
      <c r="Q695" s="1980"/>
      <c r="R695" s="1980"/>
      <c r="S695" s="1980"/>
      <c r="T695" s="1980"/>
      <c r="U695" s="1980"/>
      <c r="V695" s="1980"/>
    </row>
    <row r="696" spans="12:22" ht="15">
      <c r="L696" s="1979"/>
      <c r="M696" s="1980"/>
      <c r="N696" s="1980"/>
      <c r="O696" s="1981"/>
      <c r="P696" s="1980"/>
      <c r="Q696" s="1980"/>
      <c r="R696" s="1980"/>
      <c r="S696" s="1980"/>
      <c r="T696" s="1980"/>
      <c r="U696" s="1980"/>
      <c r="V696" s="1980"/>
    </row>
    <row r="697" spans="12:22" ht="15">
      <c r="L697" s="1979"/>
      <c r="M697" s="1980"/>
      <c r="N697" s="1980"/>
      <c r="O697" s="1981"/>
      <c r="P697" s="1980"/>
      <c r="Q697" s="1980"/>
      <c r="R697" s="1980"/>
      <c r="S697" s="1980"/>
      <c r="T697" s="1980"/>
      <c r="U697" s="1980"/>
      <c r="V697" s="1980"/>
    </row>
    <row r="698" spans="12:22" ht="15">
      <c r="L698" s="1979"/>
      <c r="M698" s="1980"/>
      <c r="N698" s="1980"/>
      <c r="O698" s="1981"/>
      <c r="P698" s="1980"/>
      <c r="Q698" s="1980"/>
      <c r="R698" s="1980"/>
      <c r="S698" s="1980"/>
      <c r="T698" s="1980"/>
      <c r="U698" s="1980"/>
      <c r="V698" s="1980"/>
    </row>
    <row r="699" spans="12:22" ht="15">
      <c r="L699" s="1979"/>
      <c r="M699" s="1980"/>
      <c r="N699" s="1980"/>
      <c r="O699" s="1981"/>
      <c r="P699" s="1980"/>
      <c r="Q699" s="1980"/>
      <c r="R699" s="1980"/>
      <c r="S699" s="1980"/>
      <c r="T699" s="1980"/>
      <c r="U699" s="1980"/>
      <c r="V699" s="1980"/>
    </row>
    <row r="700" spans="12:22" ht="15">
      <c r="L700" s="1979"/>
      <c r="M700" s="1980"/>
      <c r="N700" s="1980"/>
      <c r="O700" s="1981"/>
      <c r="P700" s="1980"/>
      <c r="Q700" s="1980"/>
      <c r="R700" s="1980"/>
      <c r="S700" s="1980"/>
      <c r="T700" s="1980"/>
      <c r="U700" s="1980"/>
      <c r="V700" s="1980"/>
    </row>
    <row r="701" spans="12:22" ht="15">
      <c r="L701" s="1979"/>
      <c r="M701" s="1980"/>
      <c r="N701" s="1980"/>
      <c r="O701" s="1981"/>
      <c r="P701" s="1980"/>
      <c r="Q701" s="1980"/>
      <c r="R701" s="1980"/>
      <c r="S701" s="1980"/>
      <c r="T701" s="1980"/>
      <c r="U701" s="1980"/>
      <c r="V701" s="1980"/>
    </row>
    <row r="702" spans="12:22" ht="15">
      <c r="L702" s="1979"/>
      <c r="M702" s="1980"/>
      <c r="N702" s="1980"/>
      <c r="O702" s="1981"/>
      <c r="P702" s="1980"/>
      <c r="Q702" s="1980"/>
      <c r="R702" s="1980"/>
      <c r="S702" s="1980"/>
      <c r="T702" s="1980"/>
      <c r="U702" s="1980"/>
      <c r="V702" s="1980"/>
    </row>
    <row r="703" spans="12:22" ht="15">
      <c r="L703" s="1979"/>
      <c r="M703" s="1980"/>
      <c r="N703" s="1980"/>
      <c r="O703" s="1981"/>
      <c r="P703" s="1980"/>
      <c r="Q703" s="1980"/>
      <c r="R703" s="1980"/>
      <c r="S703" s="1980"/>
      <c r="T703" s="1980"/>
      <c r="U703" s="1980"/>
      <c r="V703" s="1980"/>
    </row>
    <row r="704" spans="12:22" ht="15">
      <c r="L704" s="1979"/>
      <c r="M704" s="1980"/>
      <c r="N704" s="1980"/>
      <c r="O704" s="1981"/>
      <c r="P704" s="1980"/>
      <c r="Q704" s="1980"/>
      <c r="R704" s="1980"/>
      <c r="S704" s="1980"/>
      <c r="T704" s="1980"/>
      <c r="U704" s="1980"/>
      <c r="V704" s="1980"/>
    </row>
    <row r="705" spans="12:22" ht="15">
      <c r="L705" s="1979"/>
      <c r="M705" s="1980"/>
      <c r="N705" s="1980"/>
      <c r="O705" s="1981"/>
      <c r="P705" s="1980"/>
      <c r="Q705" s="1980"/>
      <c r="R705" s="1980"/>
      <c r="S705" s="1980"/>
      <c r="T705" s="1980"/>
      <c r="U705" s="1980"/>
      <c r="V705" s="1980"/>
    </row>
    <row r="706" spans="12:22" ht="15">
      <c r="L706" s="1979"/>
      <c r="M706" s="1980"/>
      <c r="N706" s="1980"/>
      <c r="O706" s="1981"/>
      <c r="P706" s="1980"/>
      <c r="Q706" s="1980"/>
      <c r="R706" s="1980"/>
      <c r="S706" s="1980"/>
      <c r="T706" s="1980"/>
      <c r="U706" s="1980"/>
      <c r="V706" s="1980"/>
    </row>
    <row r="707" spans="12:22" ht="15">
      <c r="L707" s="1979"/>
      <c r="M707" s="1980"/>
      <c r="N707" s="1980"/>
      <c r="O707" s="1981"/>
      <c r="P707" s="1980"/>
      <c r="Q707" s="1980"/>
      <c r="R707" s="1980"/>
      <c r="S707" s="1980"/>
      <c r="T707" s="1980"/>
      <c r="U707" s="1980"/>
      <c r="V707" s="1980"/>
    </row>
    <row r="708" spans="12:22" ht="15">
      <c r="L708" s="1979"/>
      <c r="M708" s="1980"/>
      <c r="N708" s="1980"/>
      <c r="O708" s="1981"/>
      <c r="P708" s="1980"/>
      <c r="Q708" s="1980"/>
      <c r="R708" s="1980"/>
      <c r="S708" s="1980"/>
      <c r="T708" s="1980"/>
      <c r="U708" s="1980"/>
      <c r="V708" s="1980"/>
    </row>
    <row r="709" spans="12:22" ht="15">
      <c r="L709" s="1979"/>
      <c r="M709" s="1980"/>
      <c r="N709" s="1980"/>
      <c r="O709" s="1981"/>
      <c r="P709" s="1980"/>
      <c r="Q709" s="1980"/>
      <c r="R709" s="1980"/>
      <c r="S709" s="1980"/>
      <c r="T709" s="1980"/>
      <c r="U709" s="1980"/>
      <c r="V709" s="1980"/>
    </row>
    <row r="710" spans="12:22" ht="15">
      <c r="L710" s="1979"/>
      <c r="M710" s="1980"/>
      <c r="N710" s="1980"/>
      <c r="O710" s="1981"/>
      <c r="P710" s="1980"/>
      <c r="Q710" s="1980"/>
      <c r="R710" s="1980"/>
      <c r="S710" s="1980"/>
      <c r="T710" s="1980"/>
      <c r="U710" s="1980"/>
      <c r="V710" s="1980"/>
    </row>
    <row r="711" spans="12:22" ht="15">
      <c r="L711" s="1979"/>
      <c r="M711" s="1980"/>
      <c r="N711" s="1980"/>
      <c r="O711" s="1981"/>
      <c r="P711" s="1980"/>
      <c r="Q711" s="1980"/>
      <c r="R711" s="1980"/>
      <c r="S711" s="1980"/>
      <c r="T711" s="1980"/>
      <c r="U711" s="1980"/>
      <c r="V711" s="1980"/>
    </row>
    <row r="712" spans="12:22" ht="15">
      <c r="L712" s="1979"/>
      <c r="M712" s="1980"/>
      <c r="N712" s="1980"/>
      <c r="O712" s="1981"/>
      <c r="P712" s="1980"/>
      <c r="Q712" s="1980"/>
      <c r="R712" s="1980"/>
      <c r="S712" s="1980"/>
      <c r="T712" s="1980"/>
      <c r="U712" s="1980"/>
      <c r="V712" s="1980"/>
    </row>
    <row r="713" spans="12:22" ht="15">
      <c r="L713" s="1979"/>
      <c r="M713" s="1980"/>
      <c r="N713" s="1980"/>
      <c r="O713" s="1981"/>
      <c r="P713" s="1980"/>
      <c r="Q713" s="1980"/>
      <c r="R713" s="1980"/>
      <c r="S713" s="1980"/>
      <c r="T713" s="1980"/>
      <c r="U713" s="1980"/>
      <c r="V713" s="1980"/>
    </row>
    <row r="714" spans="12:22" ht="15">
      <c r="L714" s="1979"/>
      <c r="M714" s="1980"/>
      <c r="N714" s="1980"/>
      <c r="O714" s="1981"/>
      <c r="P714" s="1980"/>
      <c r="Q714" s="1980"/>
      <c r="R714" s="1980"/>
      <c r="S714" s="1980"/>
      <c r="T714" s="1980"/>
      <c r="U714" s="1980"/>
      <c r="V714" s="1980"/>
    </row>
    <row r="715" spans="12:22" ht="15">
      <c r="L715" s="1979"/>
      <c r="M715" s="1980"/>
      <c r="N715" s="1980"/>
      <c r="O715" s="1981"/>
      <c r="P715" s="1980"/>
      <c r="Q715" s="1980"/>
      <c r="R715" s="1980"/>
      <c r="S715" s="1980"/>
      <c r="T715" s="1980"/>
      <c r="U715" s="1980"/>
      <c r="V715" s="1980"/>
    </row>
    <row r="716" spans="12:22" ht="15">
      <c r="L716" s="1979"/>
      <c r="M716" s="1980"/>
      <c r="N716" s="1980"/>
      <c r="O716" s="1981"/>
      <c r="P716" s="1980"/>
      <c r="Q716" s="1980"/>
      <c r="R716" s="1980"/>
      <c r="S716" s="1980"/>
      <c r="T716" s="1980"/>
      <c r="U716" s="1980"/>
      <c r="V716" s="1980"/>
    </row>
    <row r="717" spans="12:22" ht="15">
      <c r="L717" s="1979"/>
      <c r="M717" s="1980"/>
      <c r="N717" s="1980"/>
      <c r="O717" s="1981"/>
      <c r="P717" s="1980"/>
      <c r="Q717" s="1980"/>
      <c r="R717" s="1980"/>
      <c r="S717" s="1980"/>
      <c r="T717" s="1980"/>
      <c r="U717" s="1980"/>
      <c r="V717" s="1980"/>
    </row>
    <row r="718" spans="12:22" ht="15">
      <c r="L718" s="1979"/>
      <c r="M718" s="1980"/>
      <c r="N718" s="1980"/>
      <c r="O718" s="1981"/>
      <c r="P718" s="1980"/>
      <c r="Q718" s="1980"/>
      <c r="R718" s="1980"/>
      <c r="S718" s="1980"/>
      <c r="T718" s="1980"/>
      <c r="U718" s="1980"/>
      <c r="V718" s="1980"/>
    </row>
    <row r="719" spans="12:22" ht="15">
      <c r="L719" s="1979"/>
      <c r="M719" s="1980"/>
      <c r="N719" s="1980"/>
      <c r="O719" s="1981"/>
      <c r="P719" s="1980"/>
      <c r="Q719" s="1980"/>
      <c r="R719" s="1980"/>
      <c r="S719" s="1980"/>
      <c r="T719" s="1980"/>
      <c r="U719" s="1980"/>
      <c r="V719" s="1980"/>
    </row>
    <row r="720" spans="12:22" ht="15">
      <c r="L720" s="1979"/>
      <c r="M720" s="1980"/>
      <c r="N720" s="1980"/>
      <c r="O720" s="1981"/>
      <c r="P720" s="1980"/>
      <c r="Q720" s="1980"/>
      <c r="R720" s="1980"/>
      <c r="S720" s="1980"/>
      <c r="T720" s="1980"/>
      <c r="U720" s="1980"/>
      <c r="V720" s="1980"/>
    </row>
    <row r="721" spans="12:22" ht="15">
      <c r="L721" s="1979"/>
      <c r="M721" s="1980"/>
      <c r="N721" s="1980"/>
      <c r="O721" s="1981"/>
      <c r="P721" s="1980"/>
      <c r="Q721" s="1980"/>
      <c r="R721" s="1980"/>
      <c r="S721" s="1980"/>
      <c r="T721" s="1980"/>
      <c r="U721" s="1980"/>
      <c r="V721" s="1980"/>
    </row>
    <row r="722" spans="12:22" ht="15">
      <c r="L722" s="1979"/>
      <c r="M722" s="1980"/>
      <c r="N722" s="1980"/>
      <c r="O722" s="1981"/>
      <c r="P722" s="1980"/>
      <c r="Q722" s="1980"/>
      <c r="R722" s="1980"/>
      <c r="S722" s="1980"/>
      <c r="T722" s="1980"/>
      <c r="U722" s="1980"/>
      <c r="V722" s="1980"/>
    </row>
    <row r="723" spans="12:22" ht="15">
      <c r="L723" s="1979"/>
      <c r="M723" s="1980"/>
      <c r="N723" s="1980"/>
      <c r="O723" s="1981"/>
      <c r="P723" s="1980"/>
      <c r="Q723" s="1980"/>
      <c r="R723" s="1980"/>
      <c r="S723" s="1980"/>
      <c r="T723" s="1980"/>
      <c r="U723" s="1980"/>
      <c r="V723" s="1980"/>
    </row>
    <row r="724" spans="12:22" ht="15">
      <c r="L724" s="1979"/>
      <c r="M724" s="1980"/>
      <c r="N724" s="1980"/>
      <c r="O724" s="1981"/>
      <c r="P724" s="1980"/>
      <c r="Q724" s="1980"/>
      <c r="R724" s="1980"/>
      <c r="S724" s="1980"/>
      <c r="T724" s="1980"/>
      <c r="U724" s="1980"/>
      <c r="V724" s="1980"/>
    </row>
    <row r="725" spans="12:22" ht="15">
      <c r="L725" s="1979"/>
      <c r="M725" s="1980"/>
      <c r="N725" s="1980"/>
      <c r="O725" s="1981"/>
      <c r="P725" s="1980"/>
      <c r="Q725" s="1980"/>
      <c r="R725" s="1980"/>
      <c r="S725" s="1980"/>
      <c r="T725" s="1980"/>
      <c r="U725" s="1980"/>
      <c r="V725" s="1980"/>
    </row>
    <row r="726" spans="12:22" ht="15">
      <c r="L726" s="1979"/>
      <c r="M726" s="1980"/>
      <c r="N726" s="1980"/>
      <c r="O726" s="1981"/>
      <c r="P726" s="1980"/>
      <c r="Q726" s="1980"/>
      <c r="R726" s="1980"/>
      <c r="S726" s="1980"/>
      <c r="T726" s="1980"/>
      <c r="U726" s="1980"/>
      <c r="V726" s="1980"/>
    </row>
    <row r="727" spans="12:22" ht="15">
      <c r="L727" s="1979"/>
      <c r="M727" s="1980"/>
      <c r="N727" s="1980"/>
      <c r="O727" s="1981"/>
      <c r="P727" s="1980"/>
      <c r="Q727" s="1980"/>
      <c r="R727" s="1980"/>
      <c r="S727" s="1980"/>
      <c r="T727" s="1980"/>
      <c r="U727" s="1980"/>
      <c r="V727" s="1980"/>
    </row>
    <row r="728" spans="12:22" ht="15">
      <c r="L728" s="1979"/>
      <c r="M728" s="1980"/>
      <c r="N728" s="1980"/>
      <c r="O728" s="1981"/>
      <c r="P728" s="1980"/>
      <c r="Q728" s="1980"/>
      <c r="R728" s="1980"/>
      <c r="S728" s="1980"/>
      <c r="T728" s="1980"/>
      <c r="U728" s="1980"/>
      <c r="V728" s="1980"/>
    </row>
    <row r="729" spans="12:22" ht="15">
      <c r="L729" s="1979"/>
      <c r="M729" s="1980"/>
      <c r="N729" s="1980"/>
      <c r="O729" s="1981"/>
      <c r="P729" s="1980"/>
      <c r="Q729" s="1980"/>
      <c r="R729" s="1980"/>
      <c r="S729" s="1980"/>
      <c r="T729" s="1980"/>
      <c r="U729" s="1980"/>
      <c r="V729" s="1980"/>
    </row>
    <row r="730" spans="12:22" ht="15">
      <c r="L730" s="1979"/>
      <c r="M730" s="1980"/>
      <c r="N730" s="1980"/>
      <c r="O730" s="1981"/>
      <c r="P730" s="1980"/>
      <c r="Q730" s="1980"/>
      <c r="R730" s="1980"/>
      <c r="S730" s="1980"/>
      <c r="T730" s="1980"/>
      <c r="U730" s="1980"/>
      <c r="V730" s="1980"/>
    </row>
    <row r="731" spans="12:22" ht="15">
      <c r="L731" s="1979"/>
      <c r="M731" s="1980"/>
      <c r="N731" s="1980"/>
      <c r="O731" s="1981"/>
      <c r="P731" s="1980"/>
      <c r="Q731" s="1980"/>
      <c r="R731" s="1980"/>
      <c r="S731" s="1980"/>
      <c r="T731" s="1980"/>
      <c r="U731" s="1980"/>
      <c r="V731" s="1980"/>
    </row>
    <row r="732" spans="12:22" ht="15">
      <c r="L732" s="1979"/>
      <c r="M732" s="1980"/>
      <c r="N732" s="1980"/>
      <c r="O732" s="1981"/>
      <c r="P732" s="1980"/>
      <c r="Q732" s="1980"/>
      <c r="R732" s="1980"/>
      <c r="S732" s="1980"/>
      <c r="T732" s="1980"/>
      <c r="U732" s="1980"/>
      <c r="V732" s="1980"/>
    </row>
    <row r="733" spans="12:22" ht="15">
      <c r="L733" s="1979"/>
      <c r="M733" s="1980"/>
      <c r="N733" s="1980"/>
      <c r="O733" s="1981"/>
      <c r="P733" s="1980"/>
      <c r="Q733" s="1980"/>
      <c r="R733" s="1980"/>
      <c r="S733" s="1980"/>
      <c r="T733" s="1980"/>
      <c r="U733" s="1980"/>
      <c r="V733" s="1980"/>
    </row>
    <row r="734" spans="12:22" ht="15">
      <c r="L734" s="1979"/>
      <c r="M734" s="1980"/>
      <c r="N734" s="1980"/>
      <c r="O734" s="1981"/>
      <c r="P734" s="1980"/>
      <c r="Q734" s="1980"/>
      <c r="R734" s="1980"/>
      <c r="S734" s="1980"/>
      <c r="T734" s="1980"/>
      <c r="U734" s="1980"/>
      <c r="V734" s="1980"/>
    </row>
    <row r="735" spans="12:22" ht="15">
      <c r="L735" s="1979"/>
      <c r="M735" s="1980"/>
      <c r="N735" s="1980"/>
      <c r="O735" s="1981"/>
      <c r="P735" s="1980"/>
      <c r="Q735" s="1980"/>
      <c r="R735" s="1980"/>
      <c r="S735" s="1980"/>
      <c r="T735" s="1980"/>
      <c r="U735" s="1980"/>
      <c r="V735" s="1980"/>
    </row>
    <row r="736" spans="12:22" ht="15">
      <c r="L736" s="1979"/>
      <c r="M736" s="1980"/>
      <c r="N736" s="1980"/>
      <c r="O736" s="1981"/>
      <c r="P736" s="1980"/>
      <c r="Q736" s="1980"/>
      <c r="R736" s="1980"/>
      <c r="S736" s="1980"/>
      <c r="T736" s="1980"/>
      <c r="U736" s="1980"/>
      <c r="V736" s="1980"/>
    </row>
    <row r="737" spans="12:22" ht="15">
      <c r="L737" s="1979"/>
      <c r="M737" s="1980"/>
      <c r="N737" s="1980"/>
      <c r="O737" s="1981"/>
      <c r="P737" s="1980"/>
      <c r="Q737" s="1980"/>
      <c r="R737" s="1980"/>
      <c r="S737" s="1980"/>
      <c r="T737" s="1980"/>
      <c r="U737" s="1980"/>
      <c r="V737" s="1980"/>
    </row>
    <row r="738" spans="12:22" ht="15">
      <c r="L738" s="1979"/>
      <c r="M738" s="1980"/>
      <c r="N738" s="1980"/>
      <c r="O738" s="1981"/>
      <c r="P738" s="1980"/>
      <c r="Q738" s="1980"/>
      <c r="R738" s="1980"/>
      <c r="S738" s="1980"/>
      <c r="T738" s="1980"/>
      <c r="U738" s="1980"/>
      <c r="V738" s="1980"/>
    </row>
    <row r="739" spans="12:22" ht="15">
      <c r="L739" s="1979"/>
      <c r="M739" s="1980"/>
      <c r="N739" s="1980"/>
      <c r="O739" s="1981"/>
      <c r="P739" s="1980"/>
      <c r="Q739" s="1980"/>
      <c r="R739" s="1980"/>
      <c r="S739" s="1980"/>
      <c r="T739" s="1980"/>
      <c r="U739" s="1980"/>
      <c r="V739" s="1980"/>
    </row>
    <row r="740" spans="12:22" ht="15">
      <c r="L740" s="1979"/>
      <c r="M740" s="1980"/>
      <c r="N740" s="1980"/>
      <c r="O740" s="1981"/>
      <c r="P740" s="1980"/>
      <c r="Q740" s="1980"/>
      <c r="R740" s="1980"/>
      <c r="S740" s="1980"/>
      <c r="T740" s="1980"/>
      <c r="U740" s="1980"/>
      <c r="V740" s="1980"/>
    </row>
    <row r="741" spans="12:22" ht="15">
      <c r="L741" s="1979"/>
      <c r="M741" s="1980"/>
      <c r="N741" s="1980"/>
      <c r="O741" s="1981"/>
      <c r="P741" s="1980"/>
      <c r="Q741" s="1980"/>
      <c r="R741" s="1980"/>
      <c r="S741" s="1980"/>
      <c r="T741" s="1980"/>
      <c r="U741" s="1980"/>
      <c r="V741" s="1980"/>
    </row>
    <row r="742" spans="12:22" ht="15">
      <c r="L742" s="1979"/>
      <c r="M742" s="1980"/>
      <c r="N742" s="1980"/>
      <c r="O742" s="1981"/>
      <c r="P742" s="1980"/>
      <c r="Q742" s="1980"/>
      <c r="R742" s="1980"/>
      <c r="S742" s="1980"/>
      <c r="T742" s="1980"/>
      <c r="U742" s="1980"/>
      <c r="V742" s="1980"/>
    </row>
    <row r="743" spans="12:22" ht="15">
      <c r="L743" s="1979"/>
      <c r="M743" s="1980"/>
      <c r="N743" s="1980"/>
      <c r="O743" s="1981"/>
      <c r="P743" s="1980"/>
      <c r="Q743" s="1980"/>
      <c r="R743" s="1980"/>
      <c r="S743" s="1980"/>
      <c r="T743" s="1980"/>
      <c r="U743" s="1980"/>
      <c r="V743" s="1980"/>
    </row>
    <row r="744" spans="12:22" ht="15">
      <c r="L744" s="1979"/>
      <c r="M744" s="1980"/>
      <c r="N744" s="1980"/>
      <c r="O744" s="1981"/>
      <c r="P744" s="1980"/>
      <c r="Q744" s="1980"/>
      <c r="R744" s="1980"/>
      <c r="S744" s="1980"/>
      <c r="T744" s="1980"/>
      <c r="U744" s="1980"/>
      <c r="V744" s="1980"/>
    </row>
    <row r="745" spans="12:22" ht="15">
      <c r="L745" s="1979"/>
      <c r="M745" s="1980"/>
      <c r="N745" s="1980"/>
      <c r="O745" s="1981"/>
      <c r="P745" s="1980"/>
      <c r="Q745" s="1980"/>
      <c r="R745" s="1980"/>
      <c r="S745" s="1980"/>
      <c r="T745" s="1980"/>
      <c r="U745" s="1980"/>
      <c r="V745" s="1980"/>
    </row>
    <row r="746" spans="12:22" ht="15">
      <c r="L746" s="1979"/>
      <c r="M746" s="1980"/>
      <c r="N746" s="1980"/>
      <c r="O746" s="1981"/>
      <c r="P746" s="1980"/>
      <c r="Q746" s="1980"/>
      <c r="R746" s="1980"/>
      <c r="S746" s="1980"/>
      <c r="T746" s="1980"/>
      <c r="U746" s="1980"/>
      <c r="V746" s="1980"/>
    </row>
    <row r="747" spans="12:22" ht="15">
      <c r="L747" s="1979"/>
      <c r="M747" s="1980"/>
      <c r="N747" s="1980"/>
      <c r="O747" s="1981"/>
      <c r="P747" s="1980"/>
      <c r="Q747" s="1980"/>
      <c r="R747" s="1980"/>
      <c r="S747" s="1980"/>
      <c r="T747" s="1980"/>
      <c r="U747" s="1980"/>
      <c r="V747" s="1980"/>
    </row>
    <row r="748" spans="12:22" ht="15">
      <c r="L748" s="1979"/>
      <c r="M748" s="1980"/>
      <c r="N748" s="1980"/>
      <c r="O748" s="1981"/>
      <c r="P748" s="1980"/>
      <c r="Q748" s="1980"/>
      <c r="R748" s="1980"/>
      <c r="S748" s="1980"/>
      <c r="T748" s="1980"/>
      <c r="U748" s="1980"/>
      <c r="V748" s="1980"/>
    </row>
    <row r="749" spans="12:22" ht="15">
      <c r="L749" s="1979"/>
      <c r="M749" s="1980"/>
      <c r="N749" s="1980"/>
      <c r="O749" s="1981"/>
      <c r="P749" s="1980"/>
      <c r="Q749" s="1980"/>
      <c r="R749" s="1980"/>
      <c r="S749" s="1980"/>
      <c r="T749" s="1980"/>
      <c r="U749" s="1980"/>
      <c r="V749" s="1980"/>
    </row>
    <row r="750" spans="12:22" ht="15">
      <c r="L750" s="1979"/>
      <c r="M750" s="1980"/>
      <c r="N750" s="1980"/>
      <c r="O750" s="1981"/>
      <c r="P750" s="1980"/>
      <c r="Q750" s="1980"/>
      <c r="R750" s="1980"/>
      <c r="S750" s="1980"/>
      <c r="T750" s="1980"/>
      <c r="U750" s="1980"/>
      <c r="V750" s="1980"/>
    </row>
    <row r="751" spans="12:22" ht="15">
      <c r="L751" s="1979"/>
      <c r="M751" s="1980"/>
      <c r="N751" s="1980"/>
      <c r="O751" s="1981"/>
      <c r="P751" s="1980"/>
      <c r="Q751" s="1980"/>
      <c r="R751" s="1980"/>
      <c r="S751" s="1980"/>
      <c r="T751" s="1980"/>
      <c r="U751" s="1980"/>
      <c r="V751" s="1980"/>
    </row>
    <row r="752" spans="12:22" ht="15">
      <c r="L752" s="1979"/>
      <c r="M752" s="1980"/>
      <c r="N752" s="1980"/>
      <c r="O752" s="1981"/>
      <c r="P752" s="1980"/>
      <c r="Q752" s="1980"/>
      <c r="R752" s="1980"/>
      <c r="S752" s="1980"/>
      <c r="T752" s="1980"/>
      <c r="U752" s="1980"/>
      <c r="V752" s="1980"/>
    </row>
    <row r="753" spans="12:22" ht="15">
      <c r="L753" s="1979"/>
      <c r="M753" s="1980"/>
      <c r="N753" s="1980"/>
      <c r="O753" s="1981"/>
      <c r="P753" s="1980"/>
      <c r="Q753" s="1980"/>
      <c r="R753" s="1980"/>
      <c r="S753" s="1980"/>
      <c r="T753" s="1980"/>
      <c r="U753" s="1980"/>
      <c r="V753" s="1980"/>
    </row>
    <row r="754" spans="12:22" ht="15">
      <c r="L754" s="1979"/>
      <c r="M754" s="1980"/>
      <c r="N754" s="1980"/>
      <c r="O754" s="1981"/>
      <c r="P754" s="1980"/>
      <c r="Q754" s="1980"/>
      <c r="R754" s="1980"/>
      <c r="S754" s="1980"/>
      <c r="T754" s="1980"/>
      <c r="U754" s="1980"/>
      <c r="V754" s="1980"/>
    </row>
    <row r="755" spans="12:22" ht="15">
      <c r="L755" s="1979"/>
      <c r="M755" s="1980"/>
      <c r="N755" s="1980"/>
      <c r="O755" s="1981"/>
      <c r="P755" s="1980"/>
      <c r="Q755" s="1980"/>
      <c r="R755" s="1980"/>
      <c r="S755" s="1980"/>
      <c r="T755" s="1980"/>
      <c r="U755" s="1980"/>
      <c r="V755" s="1980"/>
    </row>
    <row r="756" spans="12:22" ht="15">
      <c r="L756" s="1979"/>
      <c r="M756" s="1980"/>
      <c r="N756" s="1980"/>
      <c r="O756" s="1981"/>
      <c r="P756" s="1980"/>
      <c r="Q756" s="1980"/>
      <c r="R756" s="1980"/>
      <c r="S756" s="1980"/>
      <c r="T756" s="1980"/>
      <c r="U756" s="1980"/>
      <c r="V756" s="1980"/>
    </row>
    <row r="757" spans="12:22" ht="15">
      <c r="L757" s="1979"/>
      <c r="M757" s="1980"/>
      <c r="N757" s="1980"/>
      <c r="O757" s="1981"/>
      <c r="P757" s="1980"/>
      <c r="Q757" s="1980"/>
      <c r="R757" s="1980"/>
      <c r="S757" s="1980"/>
      <c r="T757" s="1980"/>
      <c r="U757" s="1980"/>
      <c r="V757" s="1980"/>
    </row>
    <row r="758" spans="12:22" ht="15">
      <c r="L758" s="1979"/>
      <c r="M758" s="1980"/>
      <c r="N758" s="1980"/>
      <c r="O758" s="1981"/>
      <c r="P758" s="1980"/>
      <c r="Q758" s="1980"/>
      <c r="R758" s="1980"/>
      <c r="S758" s="1980"/>
      <c r="T758" s="1980"/>
      <c r="U758" s="1980"/>
      <c r="V758" s="1980"/>
    </row>
    <row r="759" spans="12:22" ht="15">
      <c r="L759" s="1979"/>
      <c r="M759" s="1980"/>
      <c r="N759" s="1980"/>
      <c r="O759" s="1981"/>
      <c r="P759" s="1980"/>
      <c r="Q759" s="1980"/>
      <c r="R759" s="1980"/>
      <c r="S759" s="1980"/>
      <c r="T759" s="1980"/>
      <c r="U759" s="1980"/>
      <c r="V759" s="1980"/>
    </row>
    <row r="760" spans="12:22" ht="15">
      <c r="L760" s="1979"/>
      <c r="M760" s="1980"/>
      <c r="N760" s="1980"/>
      <c r="O760" s="1981"/>
      <c r="P760" s="1980"/>
      <c r="Q760" s="1980"/>
      <c r="R760" s="1980"/>
      <c r="S760" s="1980"/>
      <c r="T760" s="1980"/>
      <c r="U760" s="1980"/>
      <c r="V760" s="1980"/>
    </row>
    <row r="761" spans="12:22" ht="15">
      <c r="L761" s="1979"/>
      <c r="M761" s="1980"/>
      <c r="N761" s="1980"/>
      <c r="O761" s="1981"/>
      <c r="P761" s="1980"/>
      <c r="Q761" s="1980"/>
      <c r="R761" s="1980"/>
      <c r="S761" s="1980"/>
      <c r="T761" s="1980"/>
      <c r="U761" s="1980"/>
      <c r="V761" s="1980"/>
    </row>
    <row r="762" spans="12:22" ht="15">
      <c r="L762" s="1979"/>
      <c r="M762" s="1980"/>
      <c r="N762" s="1980"/>
      <c r="O762" s="1981"/>
      <c r="P762" s="1980"/>
      <c r="Q762" s="1980"/>
      <c r="R762" s="1980"/>
      <c r="S762" s="1980"/>
      <c r="T762" s="1980"/>
      <c r="U762" s="1980"/>
      <c r="V762" s="1980"/>
    </row>
    <row r="763" spans="12:22" ht="15">
      <c r="L763" s="1979"/>
      <c r="M763" s="1980"/>
      <c r="N763" s="1980"/>
      <c r="O763" s="1981"/>
      <c r="P763" s="1980"/>
      <c r="Q763" s="1980"/>
      <c r="R763" s="1980"/>
      <c r="S763" s="1980"/>
      <c r="T763" s="1980"/>
      <c r="U763" s="1980"/>
      <c r="V763" s="1980"/>
    </row>
    <row r="764" spans="12:22" ht="15">
      <c r="L764" s="1979"/>
      <c r="M764" s="1980"/>
      <c r="N764" s="1980"/>
      <c r="O764" s="1981"/>
      <c r="P764" s="1980"/>
      <c r="Q764" s="1980"/>
      <c r="R764" s="1980"/>
      <c r="S764" s="1980"/>
      <c r="T764" s="1980"/>
      <c r="U764" s="1980"/>
      <c r="V764" s="1980"/>
    </row>
    <row r="765" spans="12:22" ht="15">
      <c r="L765" s="1979"/>
      <c r="M765" s="1980"/>
      <c r="N765" s="1980"/>
      <c r="O765" s="1981"/>
      <c r="P765" s="1980"/>
      <c r="Q765" s="1980"/>
      <c r="R765" s="1980"/>
      <c r="S765" s="1980"/>
      <c r="T765" s="1980"/>
      <c r="U765" s="1980"/>
      <c r="V765" s="1980"/>
    </row>
    <row r="766" spans="12:22" ht="15">
      <c r="L766" s="1979"/>
      <c r="M766" s="1980"/>
      <c r="N766" s="1980"/>
      <c r="O766" s="1981"/>
      <c r="P766" s="1980"/>
      <c r="Q766" s="1980"/>
      <c r="R766" s="1980"/>
      <c r="S766" s="1980"/>
      <c r="T766" s="1980"/>
      <c r="U766" s="1980"/>
      <c r="V766" s="1980"/>
    </row>
    <row r="767" spans="12:22" ht="15">
      <c r="L767" s="1979"/>
      <c r="M767" s="1980"/>
      <c r="N767" s="1980"/>
      <c r="O767" s="1981"/>
      <c r="P767" s="1980"/>
      <c r="Q767" s="1980"/>
      <c r="R767" s="1980"/>
      <c r="S767" s="1980"/>
      <c r="T767" s="1980"/>
      <c r="U767" s="1980"/>
      <c r="V767" s="1980"/>
    </row>
    <row r="768" spans="12:22" ht="15">
      <c r="L768" s="1979"/>
      <c r="M768" s="1980"/>
      <c r="N768" s="1980"/>
      <c r="O768" s="1981"/>
      <c r="P768" s="1980"/>
      <c r="Q768" s="1980"/>
      <c r="R768" s="1980"/>
      <c r="S768" s="1980"/>
      <c r="T768" s="1980"/>
      <c r="U768" s="1980"/>
      <c r="V768" s="1980"/>
    </row>
    <row r="769" spans="12:22" ht="15">
      <c r="L769" s="1979"/>
      <c r="M769" s="1980"/>
      <c r="N769" s="1980"/>
      <c r="O769" s="1981"/>
      <c r="P769" s="1980"/>
      <c r="Q769" s="1980"/>
      <c r="R769" s="1980"/>
      <c r="S769" s="1980"/>
      <c r="T769" s="1980"/>
      <c r="U769" s="1980"/>
      <c r="V769" s="1980"/>
    </row>
    <row r="770" spans="12:22" ht="15">
      <c r="L770" s="1979"/>
      <c r="M770" s="1980"/>
      <c r="N770" s="1980"/>
      <c r="O770" s="1981"/>
      <c r="P770" s="1980"/>
      <c r="Q770" s="1980"/>
      <c r="R770" s="1980"/>
      <c r="S770" s="1980"/>
      <c r="T770" s="1980"/>
      <c r="U770" s="1980"/>
      <c r="V770" s="1980"/>
    </row>
    <row r="771" spans="12:22" ht="15">
      <c r="L771" s="1979"/>
      <c r="M771" s="1980"/>
      <c r="N771" s="1980"/>
      <c r="O771" s="1981"/>
      <c r="P771" s="1980"/>
      <c r="Q771" s="1980"/>
      <c r="R771" s="1980"/>
      <c r="S771" s="1980"/>
      <c r="T771" s="1980"/>
      <c r="U771" s="1980"/>
      <c r="V771" s="1980"/>
    </row>
    <row r="772" spans="12:22" ht="15">
      <c r="L772" s="1979"/>
      <c r="M772" s="1980"/>
      <c r="N772" s="1980"/>
      <c r="O772" s="1981"/>
      <c r="P772" s="1980"/>
      <c r="Q772" s="1980"/>
      <c r="R772" s="1980"/>
      <c r="S772" s="1980"/>
      <c r="T772" s="1980"/>
      <c r="U772" s="1980"/>
      <c r="V772" s="1980"/>
    </row>
    <row r="773" spans="12:22" ht="15">
      <c r="L773" s="1979"/>
      <c r="M773" s="1980"/>
      <c r="N773" s="1980"/>
      <c r="O773" s="1981"/>
      <c r="P773" s="1980"/>
      <c r="Q773" s="1980"/>
      <c r="R773" s="1980"/>
      <c r="S773" s="1980"/>
      <c r="T773" s="1980"/>
      <c r="U773" s="1980"/>
      <c r="V773" s="1980"/>
    </row>
    <row r="774" spans="12:22" ht="15">
      <c r="L774" s="1979"/>
      <c r="M774" s="1980"/>
      <c r="N774" s="1980"/>
      <c r="O774" s="1981"/>
      <c r="P774" s="1980"/>
      <c r="Q774" s="1980"/>
      <c r="R774" s="1980"/>
      <c r="S774" s="1980"/>
      <c r="T774" s="1980"/>
      <c r="U774" s="1980"/>
      <c r="V774" s="1980"/>
    </row>
    <row r="775" spans="12:22" ht="15">
      <c r="L775" s="1979"/>
      <c r="M775" s="1980"/>
      <c r="N775" s="1980"/>
      <c r="O775" s="1981"/>
      <c r="P775" s="1980"/>
      <c r="Q775" s="1980"/>
      <c r="R775" s="1980"/>
      <c r="S775" s="1980"/>
      <c r="T775" s="1980"/>
      <c r="U775" s="1980"/>
      <c r="V775" s="1980"/>
    </row>
    <row r="776" spans="12:22" ht="15">
      <c r="L776" s="1979"/>
      <c r="M776" s="1980"/>
      <c r="N776" s="1980"/>
      <c r="O776" s="1981"/>
      <c r="P776" s="1980"/>
      <c r="Q776" s="1980"/>
      <c r="R776" s="1980"/>
      <c r="S776" s="1980"/>
      <c r="T776" s="1980"/>
      <c r="U776" s="1980"/>
      <c r="V776" s="1980"/>
    </row>
    <row r="777" spans="12:22" ht="15">
      <c r="L777" s="1979"/>
      <c r="M777" s="1980"/>
      <c r="N777" s="1980"/>
      <c r="O777" s="1981"/>
      <c r="P777" s="1980"/>
      <c r="Q777" s="1980"/>
      <c r="R777" s="1980"/>
      <c r="S777" s="1980"/>
      <c r="T777" s="1980"/>
      <c r="U777" s="1980"/>
      <c r="V777" s="1980"/>
    </row>
    <row r="778" spans="12:22" ht="15">
      <c r="L778" s="1979"/>
      <c r="M778" s="1980"/>
      <c r="N778" s="1980"/>
      <c r="O778" s="1981"/>
      <c r="P778" s="1980"/>
      <c r="Q778" s="1980"/>
      <c r="R778" s="1980"/>
      <c r="S778" s="1980"/>
      <c r="T778" s="1980"/>
      <c r="U778" s="1980"/>
      <c r="V778" s="1980"/>
    </row>
    <row r="779" spans="12:22" ht="15">
      <c r="L779" s="1979"/>
      <c r="M779" s="1980"/>
      <c r="N779" s="1980"/>
      <c r="O779" s="1981"/>
      <c r="P779" s="1980"/>
      <c r="Q779" s="1980"/>
      <c r="R779" s="1980"/>
      <c r="S779" s="1980"/>
      <c r="T779" s="1980"/>
      <c r="U779" s="1980"/>
      <c r="V779" s="1980"/>
    </row>
    <row r="780" spans="12:22" ht="15">
      <c r="L780" s="1979"/>
      <c r="M780" s="1980"/>
      <c r="N780" s="1980"/>
      <c r="O780" s="1981"/>
      <c r="P780" s="1980"/>
      <c r="Q780" s="1980"/>
      <c r="R780" s="1980"/>
      <c r="S780" s="1980"/>
      <c r="T780" s="1980"/>
      <c r="U780" s="1980"/>
      <c r="V780" s="1980"/>
    </row>
    <row r="781" spans="12:22" ht="15">
      <c r="L781" s="1979"/>
      <c r="M781" s="1980"/>
      <c r="N781" s="1980"/>
      <c r="O781" s="1981"/>
      <c r="P781" s="1980"/>
      <c r="Q781" s="1980"/>
      <c r="R781" s="1980"/>
      <c r="S781" s="1980"/>
      <c r="T781" s="1980"/>
      <c r="U781" s="1980"/>
      <c r="V781" s="1980"/>
    </row>
    <row r="782" spans="12:22" ht="15">
      <c r="L782" s="1979"/>
      <c r="M782" s="1980"/>
      <c r="N782" s="1980"/>
      <c r="O782" s="1981"/>
      <c r="P782" s="1980"/>
      <c r="Q782" s="1980"/>
      <c r="R782" s="1980"/>
      <c r="S782" s="1980"/>
      <c r="T782" s="1980"/>
      <c r="U782" s="1980"/>
      <c r="V782" s="1980"/>
    </row>
    <row r="783" spans="12:22" ht="15">
      <c r="L783" s="1979"/>
      <c r="M783" s="1980"/>
      <c r="N783" s="1980"/>
      <c r="O783" s="1981"/>
      <c r="P783" s="1980"/>
      <c r="Q783" s="1980"/>
      <c r="R783" s="1980"/>
      <c r="S783" s="1980"/>
      <c r="T783" s="1980"/>
      <c r="U783" s="1980"/>
      <c r="V783" s="1980"/>
    </row>
  </sheetData>
  <sheetProtection/>
  <mergeCells count="17">
    <mergeCell ref="A3:K3"/>
    <mergeCell ref="A5:K5"/>
    <mergeCell ref="A4:O4"/>
    <mergeCell ref="A2:O2"/>
    <mergeCell ref="A58:B58"/>
    <mergeCell ref="D51:F51"/>
    <mergeCell ref="G51:N51"/>
    <mergeCell ref="K6:K7"/>
    <mergeCell ref="A8:B8"/>
    <mergeCell ref="A45:C45"/>
    <mergeCell ref="O56:O57"/>
    <mergeCell ref="O6:O7"/>
    <mergeCell ref="A56:B57"/>
    <mergeCell ref="C56:C57"/>
    <mergeCell ref="A6:B7"/>
    <mergeCell ref="C6:C7"/>
    <mergeCell ref="K56:K57"/>
  </mergeCells>
  <printOptions/>
  <pageMargins left="0.31496062992125984" right="0.1968503937007874" top="0.5511811023622047" bottom="0.31496062992125984" header="0.31496062992125984" footer="0.31496062992125984"/>
  <pageSetup horizontalDpi="600" verticalDpi="600" orientation="landscape" paperSize="8" scale="80" r:id="rId1"/>
  <headerFooter alignWithMargins="0">
    <oddHeader>&amp;LCsurgói Városi Iskolák és Óvodák Eötvös József Általános Iskola
8840 Csurgó, Kossuth utca 3.</oddHeader>
  </headerFooter>
  <rowBreaks count="1" manualBreakCount="1">
    <brk id="55" max="14" man="1"/>
  </rowBreaks>
  <colBreaks count="1" manualBreakCount="1">
    <brk id="15" max="65535" man="1"/>
  </colBreaks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46"/>
  </sheetPr>
  <dimension ref="A1:H193"/>
  <sheetViews>
    <sheetView zoomScaleSheetLayoutView="100" zoomScalePageLayoutView="0" workbookViewId="0" topLeftCell="A163">
      <selection activeCell="I113" sqref="I113"/>
    </sheetView>
  </sheetViews>
  <sheetFormatPr defaultColWidth="9.140625" defaultRowHeight="12.75"/>
  <cols>
    <col min="1" max="1" width="7.7109375" style="0" customWidth="1"/>
    <col min="2" max="2" width="7.57421875" style="0" customWidth="1"/>
    <col min="3" max="3" width="48.7109375" style="0" customWidth="1"/>
    <col min="4" max="4" width="11.57421875" style="7" customWidth="1"/>
    <col min="5" max="5" width="11.7109375" style="7" customWidth="1"/>
    <col min="6" max="6" width="12.8515625" style="7" customWidth="1"/>
    <col min="7" max="7" width="9.140625" style="0" hidden="1" customWidth="1"/>
    <col min="8" max="8" width="10.140625" style="0" bestFit="1" customWidth="1"/>
  </cols>
  <sheetData>
    <row r="1" spans="1:6" ht="15.75">
      <c r="A1" s="2886" t="s">
        <v>544</v>
      </c>
      <c r="B1" s="2886"/>
      <c r="C1" s="2886"/>
      <c r="D1" s="1582"/>
      <c r="E1" s="1582"/>
      <c r="F1" s="1678"/>
    </row>
    <row r="2" spans="1:6" ht="15">
      <c r="A2" s="2945" t="s">
        <v>441</v>
      </c>
      <c r="B2" s="2945"/>
      <c r="C2" s="2945"/>
      <c r="D2" s="1582"/>
      <c r="E2" s="1582"/>
      <c r="F2" s="1582"/>
    </row>
    <row r="3" spans="1:6" ht="15">
      <c r="A3" s="1679"/>
      <c r="B3" s="1679"/>
      <c r="C3" s="1679"/>
      <c r="D3" s="1582"/>
      <c r="E3" s="1582"/>
      <c r="F3" s="1582"/>
    </row>
    <row r="4" spans="1:6" ht="15">
      <c r="A4" s="1581"/>
      <c r="B4" s="1581"/>
      <c r="C4" s="1680" t="s">
        <v>545</v>
      </c>
      <c r="D4" s="1681"/>
      <c r="E4" s="1682"/>
      <c r="F4" s="1678"/>
    </row>
    <row r="5" spans="1:6" ht="15">
      <c r="A5" s="1581"/>
      <c r="B5" s="1581"/>
      <c r="C5" s="1680"/>
      <c r="D5" s="1681"/>
      <c r="E5" s="1682"/>
      <c r="F5" s="1678"/>
    </row>
    <row r="6" spans="1:6" ht="15">
      <c r="A6" s="1680"/>
      <c r="B6" s="1680"/>
      <c r="C6" s="2949" t="s">
        <v>535</v>
      </c>
      <c r="D6" s="2950"/>
      <c r="E6" s="2950"/>
      <c r="F6" s="2950"/>
    </row>
    <row r="7" spans="1:6" ht="15">
      <c r="A7" s="2877" t="s">
        <v>163</v>
      </c>
      <c r="B7" s="2943"/>
      <c r="C7" s="2877" t="s">
        <v>818</v>
      </c>
      <c r="D7" s="1683"/>
      <c r="E7" s="1659"/>
      <c r="F7" s="2951"/>
    </row>
    <row r="8" spans="1:6" ht="15">
      <c r="A8" s="2878"/>
      <c r="B8" s="2944"/>
      <c r="C8" s="2878"/>
      <c r="D8" s="1684"/>
      <c r="E8" s="1661"/>
      <c r="F8" s="2952"/>
    </row>
    <row r="9" spans="1:6" ht="15.75">
      <c r="A9" s="2953"/>
      <c r="B9" s="2954"/>
      <c r="C9" s="1685"/>
      <c r="D9" s="1686"/>
      <c r="E9" s="1662"/>
      <c r="F9" s="1687"/>
    </row>
    <row r="10" spans="1:6" ht="15">
      <c r="A10" s="2955" t="s">
        <v>536</v>
      </c>
      <c r="B10" s="2956"/>
      <c r="C10" s="2956"/>
      <c r="D10" s="2957"/>
      <c r="E10" s="2957"/>
      <c r="F10" s="2958"/>
    </row>
    <row r="11" spans="1:6" ht="14.25">
      <c r="A11" s="2961" t="s">
        <v>537</v>
      </c>
      <c r="B11" s="2962"/>
      <c r="C11" s="2962"/>
      <c r="D11" s="2962"/>
      <c r="E11" s="2962"/>
      <c r="F11" s="2963"/>
    </row>
    <row r="12" spans="1:6" ht="14.25">
      <c r="A12" s="1688"/>
      <c r="B12" s="1689"/>
      <c r="C12" s="1689"/>
      <c r="D12" s="1690"/>
      <c r="E12" s="1690"/>
      <c r="F12" s="1691"/>
    </row>
    <row r="13" spans="1:6" ht="15">
      <c r="A13" s="1692" t="s">
        <v>821</v>
      </c>
      <c r="B13" s="1692" t="s">
        <v>822</v>
      </c>
      <c r="C13" s="1693" t="s">
        <v>511</v>
      </c>
      <c r="D13" s="2964" t="s">
        <v>538</v>
      </c>
      <c r="E13" s="2965"/>
      <c r="F13" s="2966"/>
    </row>
    <row r="14" spans="1:6" ht="15">
      <c r="A14" s="1694"/>
      <c r="B14" s="1694"/>
      <c r="C14" s="1693"/>
      <c r="D14" s="1695"/>
      <c r="E14" s="1696"/>
      <c r="F14" s="1460"/>
    </row>
    <row r="15" spans="1:6" ht="15">
      <c r="A15" s="1694"/>
      <c r="B15" s="1694"/>
      <c r="C15" s="1693" t="s">
        <v>931</v>
      </c>
      <c r="D15" s="1695"/>
      <c r="E15" s="1696"/>
      <c r="F15" s="1460"/>
    </row>
    <row r="16" spans="1:6" ht="15">
      <c r="A16" s="1694"/>
      <c r="B16" s="1694"/>
      <c r="C16" s="1693"/>
      <c r="D16" s="1695"/>
      <c r="E16" s="1696"/>
      <c r="F16" s="1460"/>
    </row>
    <row r="17" spans="1:6" ht="15">
      <c r="A17" s="1697">
        <v>511</v>
      </c>
      <c r="B17" s="1697"/>
      <c r="C17" s="1698" t="s">
        <v>242</v>
      </c>
      <c r="D17" s="1699"/>
      <c r="E17" s="1696"/>
      <c r="F17" s="1650"/>
    </row>
    <row r="18" spans="1:6" ht="15">
      <c r="A18" s="1700"/>
      <c r="B18" s="1700"/>
      <c r="C18" s="1698" t="s">
        <v>539</v>
      </c>
      <c r="D18" s="1699"/>
      <c r="E18" s="1696"/>
      <c r="F18" s="1650"/>
    </row>
    <row r="19" spans="1:6" ht="14.25">
      <c r="A19" s="1700"/>
      <c r="B19" s="1700"/>
      <c r="C19" s="1701" t="s">
        <v>540</v>
      </c>
      <c r="D19" s="1645"/>
      <c r="E19" s="1645"/>
      <c r="F19" s="1460"/>
    </row>
    <row r="20" spans="1:6" ht="14.25">
      <c r="A20" s="1700"/>
      <c r="B20" s="1700"/>
      <c r="C20" s="1701" t="s">
        <v>541</v>
      </c>
      <c r="D20" s="1645">
        <f>'[2]856011 Ped.Szaksz.,Nev.Tan.'!H17</f>
        <v>1284599.75</v>
      </c>
      <c r="E20" s="1645"/>
      <c r="F20" s="1460"/>
    </row>
    <row r="21" spans="1:6" ht="14.25">
      <c r="A21" s="1700"/>
      <c r="B21" s="1700"/>
      <c r="C21" s="1702" t="s">
        <v>77</v>
      </c>
      <c r="D21" s="1645">
        <f>'[2]856011 Ped.Szaksz.,Nev.Tan.'!H31*11</f>
        <v>14360497.25</v>
      </c>
      <c r="E21" s="1645"/>
      <c r="F21" s="1460"/>
    </row>
    <row r="22" spans="1:6" ht="14.25">
      <c r="A22" s="1700"/>
      <c r="B22" s="1700"/>
      <c r="C22" s="1702"/>
      <c r="D22" s="1645"/>
      <c r="E22" s="1645"/>
      <c r="F22" s="1460"/>
    </row>
    <row r="23" spans="1:6" ht="15">
      <c r="A23" s="1700"/>
      <c r="B23" s="1700"/>
      <c r="C23" s="1703" t="s">
        <v>78</v>
      </c>
      <c r="D23" s="1645">
        <v>703000</v>
      </c>
      <c r="E23" s="1645"/>
      <c r="F23" s="1460"/>
    </row>
    <row r="24" spans="1:6" ht="15">
      <c r="A24" s="1700"/>
      <c r="B24" s="1700"/>
      <c r="C24" s="1703"/>
      <c r="D24" s="1645"/>
      <c r="E24" s="1645"/>
      <c r="F24" s="1460"/>
    </row>
    <row r="25" spans="1:6" ht="15.75">
      <c r="A25" s="1704">
        <v>511112</v>
      </c>
      <c r="B25" s="1704">
        <v>511212</v>
      </c>
      <c r="C25" s="1468" t="s">
        <v>1986</v>
      </c>
      <c r="D25" s="1645"/>
      <c r="E25" s="1705">
        <f>SUM(D20:D23)</f>
        <v>16348097</v>
      </c>
      <c r="F25" s="1460"/>
    </row>
    <row r="26" spans="1:6" ht="14.25">
      <c r="A26" s="1700"/>
      <c r="B26" s="1700"/>
      <c r="C26" s="1701"/>
      <c r="D26" s="1645"/>
      <c r="E26" s="1645"/>
      <c r="F26" s="1460"/>
    </row>
    <row r="27" spans="1:6" ht="15">
      <c r="A27" s="1706"/>
      <c r="B27" s="1706"/>
      <c r="C27" s="1539" t="s">
        <v>1987</v>
      </c>
      <c r="D27" s="1707"/>
      <c r="E27" s="1708"/>
      <c r="F27" s="1708"/>
    </row>
    <row r="28" spans="1:6" ht="14.25">
      <c r="A28" s="1709"/>
      <c r="B28" s="1709"/>
      <c r="C28" s="1709" t="s">
        <v>1988</v>
      </c>
      <c r="D28" s="1708">
        <f>'[2]856011 Ped.Szaksz.,Nev.Tan.'!I31*12</f>
        <v>360000</v>
      </c>
      <c r="E28" s="1708"/>
      <c r="F28" s="1708"/>
    </row>
    <row r="29" spans="1:6" ht="15">
      <c r="A29" s="1709"/>
      <c r="B29" s="1709"/>
      <c r="C29" s="1703" t="s">
        <v>78</v>
      </c>
      <c r="D29" s="1708">
        <v>76000</v>
      </c>
      <c r="E29" s="1708"/>
      <c r="F29" s="1708"/>
    </row>
    <row r="30" spans="1:6" ht="14.25">
      <c r="A30" s="1709"/>
      <c r="B30" s="1709"/>
      <c r="C30" s="1709"/>
      <c r="D30" s="1471"/>
      <c r="E30" s="1708"/>
      <c r="F30" s="1708"/>
    </row>
    <row r="31" spans="1:6" ht="15.75">
      <c r="A31" s="1710">
        <v>511142</v>
      </c>
      <c r="B31" s="1710">
        <v>511242</v>
      </c>
      <c r="C31" s="663" t="s">
        <v>1989</v>
      </c>
      <c r="D31" s="1708"/>
      <c r="E31" s="1602">
        <f>SUM(D28:D30)</f>
        <v>436000</v>
      </c>
      <c r="F31" s="1708"/>
    </row>
    <row r="32" spans="1:6" ht="15">
      <c r="A32" s="1709"/>
      <c r="B32" s="1539"/>
      <c r="C32" s="1539"/>
      <c r="D32" s="1708"/>
      <c r="E32" s="1602"/>
      <c r="F32" s="1602"/>
    </row>
    <row r="33" spans="1:6" ht="15">
      <c r="A33" s="1539" t="s">
        <v>1990</v>
      </c>
      <c r="B33" s="1539"/>
      <c r="C33" s="1539"/>
      <c r="D33" s="1708"/>
      <c r="E33" s="1708"/>
      <c r="F33" s="1602">
        <f>E25+E31</f>
        <v>16784097</v>
      </c>
    </row>
    <row r="34" spans="1:6" ht="15">
      <c r="A34" s="1709"/>
      <c r="B34" s="1539"/>
      <c r="C34" s="1539"/>
      <c r="D34" s="1708"/>
      <c r="E34" s="1708"/>
      <c r="F34" s="1708"/>
    </row>
    <row r="35" spans="1:6" ht="15">
      <c r="A35" s="1539">
        <v>512</v>
      </c>
      <c r="B35" s="1539"/>
      <c r="C35" s="1539" t="s">
        <v>1991</v>
      </c>
      <c r="D35" s="1708"/>
      <c r="E35" s="1708"/>
      <c r="F35" s="1708"/>
    </row>
    <row r="36" spans="1:6" ht="15">
      <c r="A36" s="1709"/>
      <c r="B36" s="1539"/>
      <c r="C36" s="1711" t="s">
        <v>1992</v>
      </c>
      <c r="D36" s="1708"/>
      <c r="E36" s="1708"/>
      <c r="F36" s="1708"/>
    </row>
    <row r="37" spans="1:6" ht="15">
      <c r="A37" s="1539">
        <v>512132</v>
      </c>
      <c r="B37" s="1539">
        <v>512232</v>
      </c>
      <c r="C37" s="1539" t="s">
        <v>2040</v>
      </c>
      <c r="D37" s="1602"/>
      <c r="E37" s="1708"/>
      <c r="F37" s="1708"/>
    </row>
    <row r="38" spans="1:6" ht="15">
      <c r="A38" s="1709"/>
      <c r="B38" s="1539"/>
      <c r="C38" s="660"/>
      <c r="D38" s="1708"/>
      <c r="E38" s="1708"/>
      <c r="F38" s="1708"/>
    </row>
    <row r="39" spans="1:6" ht="15">
      <c r="A39" s="1709"/>
      <c r="B39" s="1539"/>
      <c r="C39" s="660" t="s">
        <v>1993</v>
      </c>
      <c r="D39" s="1708">
        <v>504000</v>
      </c>
      <c r="E39" s="1708"/>
      <c r="F39" s="1708"/>
    </row>
    <row r="40" spans="1:6" ht="15">
      <c r="A40" s="1709"/>
      <c r="B40" s="1539"/>
      <c r="C40" s="1703"/>
      <c r="D40" s="1708"/>
      <c r="E40" s="1708"/>
      <c r="F40" s="1708"/>
    </row>
    <row r="41" spans="1:6" ht="15">
      <c r="A41" s="1709"/>
      <c r="B41" s="1712"/>
      <c r="C41" s="1703" t="s">
        <v>78</v>
      </c>
      <c r="D41" s="1713">
        <v>8000</v>
      </c>
      <c r="E41" s="1602"/>
      <c r="F41" s="1714"/>
    </row>
    <row r="42" spans="1:6" ht="15">
      <c r="A42" s="1709"/>
      <c r="B42" s="1712"/>
      <c r="C42" s="1703"/>
      <c r="D42" s="1715"/>
      <c r="E42" s="1602"/>
      <c r="F42" s="1714"/>
    </row>
    <row r="43" spans="1:6" ht="15">
      <c r="A43" s="1539">
        <v>512192</v>
      </c>
      <c r="B43" s="1716">
        <v>512292</v>
      </c>
      <c r="C43" s="1539" t="s">
        <v>1994</v>
      </c>
      <c r="D43" s="1717">
        <f>SUM(D39:D42)</f>
        <v>512000</v>
      </c>
      <c r="E43" s="1602"/>
      <c r="F43" s="1714"/>
    </row>
    <row r="44" spans="1:6" ht="15">
      <c r="A44" s="1718"/>
      <c r="B44" s="1719"/>
      <c r="C44" s="1720"/>
      <c r="D44" s="1715"/>
      <c r="E44" s="1602"/>
      <c r="F44" s="1714"/>
    </row>
    <row r="45" spans="1:6" ht="15">
      <c r="A45" s="2946" t="s">
        <v>1995</v>
      </c>
      <c r="B45" s="2947"/>
      <c r="C45" s="2948"/>
      <c r="D45" s="1708"/>
      <c r="E45" s="1602">
        <f>SUM(D36:D41)</f>
        <v>512000</v>
      </c>
      <c r="F45" s="1602"/>
    </row>
    <row r="46" spans="1:6" ht="15">
      <c r="A46" s="1539">
        <v>513</v>
      </c>
      <c r="B46" s="1539"/>
      <c r="C46" s="1539" t="s">
        <v>1996</v>
      </c>
      <c r="D46" s="1708"/>
      <c r="E46" s="1708"/>
      <c r="F46" s="1708"/>
    </row>
    <row r="47" spans="1:6" ht="15">
      <c r="A47" s="1539"/>
      <c r="B47" s="1539"/>
      <c r="C47" s="1539"/>
      <c r="D47" s="1708"/>
      <c r="E47" s="1708"/>
      <c r="F47" s="1708"/>
    </row>
    <row r="48" spans="1:6" ht="15">
      <c r="A48" s="1539">
        <v>51312</v>
      </c>
      <c r="B48" s="1539">
        <v>51322</v>
      </c>
      <c r="C48" s="1703" t="s">
        <v>1112</v>
      </c>
      <c r="D48" s="1602">
        <v>41000</v>
      </c>
      <c r="E48" s="1708"/>
      <c r="F48" s="1708"/>
    </row>
    <row r="49" spans="1:6" ht="15">
      <c r="A49" s="1539"/>
      <c r="B49" s="1539"/>
      <c r="C49" s="1721"/>
      <c r="D49" s="1597"/>
      <c r="E49" s="1708"/>
      <c r="F49" s="1708"/>
    </row>
    <row r="50" spans="1:6" ht="15">
      <c r="A50" s="1539"/>
      <c r="B50" s="1539"/>
      <c r="C50" s="1703" t="s">
        <v>1997</v>
      </c>
      <c r="D50" s="1602"/>
      <c r="E50" s="1708"/>
      <c r="F50" s="1708"/>
    </row>
    <row r="51" spans="1:6" ht="15">
      <c r="A51" s="1539"/>
      <c r="B51" s="1539"/>
      <c r="C51" s="1703"/>
      <c r="D51" s="1602"/>
      <c r="E51" s="1708"/>
      <c r="F51" s="1708"/>
    </row>
    <row r="52" spans="1:6" ht="15">
      <c r="A52" s="1539">
        <v>513132</v>
      </c>
      <c r="B52" s="1539">
        <v>513232</v>
      </c>
      <c r="C52" s="1539" t="s">
        <v>2041</v>
      </c>
      <c r="D52" s="1602">
        <v>13000</v>
      </c>
      <c r="E52" s="1708"/>
      <c r="F52" s="1708"/>
    </row>
    <row r="53" spans="1:6" ht="15">
      <c r="A53" s="5"/>
      <c r="B53" s="1539"/>
      <c r="C53" s="1703" t="s">
        <v>1998</v>
      </c>
      <c r="D53" s="1708"/>
      <c r="E53" s="1708"/>
      <c r="F53" s="1708"/>
    </row>
    <row r="54" spans="1:6" ht="15">
      <c r="A54" s="5"/>
      <c r="B54" s="1539"/>
      <c r="C54" s="1703"/>
      <c r="D54" s="1708"/>
      <c r="E54" s="1708"/>
      <c r="F54" s="1708"/>
    </row>
    <row r="55" spans="1:6" ht="15">
      <c r="A55" s="1539"/>
      <c r="B55" s="1539"/>
      <c r="C55" s="660" t="s">
        <v>2081</v>
      </c>
      <c r="D55" s="1708"/>
      <c r="E55" s="1708"/>
      <c r="F55" s="1708"/>
    </row>
    <row r="56" spans="1:6" ht="15">
      <c r="A56" s="1539"/>
      <c r="B56" s="1539"/>
      <c r="C56" s="301" t="s">
        <v>2042</v>
      </c>
      <c r="D56" s="1708">
        <v>51400</v>
      </c>
      <c r="E56" s="1708"/>
      <c r="F56" s="1708"/>
    </row>
    <row r="57" spans="1:6" ht="15">
      <c r="A57" s="1539"/>
      <c r="B57" s="1539"/>
      <c r="C57" s="301"/>
      <c r="D57" s="1708"/>
      <c r="E57" s="1708"/>
      <c r="F57" s="1708"/>
    </row>
    <row r="58" spans="1:6" ht="15">
      <c r="A58" s="1539">
        <v>513192</v>
      </c>
      <c r="B58" s="1539">
        <v>513292</v>
      </c>
      <c r="C58" s="1539" t="s">
        <v>2081</v>
      </c>
      <c r="D58" s="1602">
        <f>D56</f>
        <v>51400</v>
      </c>
      <c r="E58" s="1602"/>
      <c r="F58" s="1714"/>
    </row>
    <row r="59" spans="1:6" ht="15">
      <c r="A59" s="1539"/>
      <c r="B59" s="1539"/>
      <c r="C59" s="660"/>
      <c r="D59" s="1708"/>
      <c r="E59" s="1602"/>
      <c r="F59" s="1714"/>
    </row>
    <row r="60" spans="1:6" ht="15">
      <c r="A60" s="1709"/>
      <c r="B60" s="1539" t="s">
        <v>1999</v>
      </c>
      <c r="C60" s="660"/>
      <c r="D60" s="6"/>
      <c r="E60" s="1602">
        <f>D48+D52+D56</f>
        <v>105400</v>
      </c>
      <c r="F60" s="6"/>
    </row>
    <row r="61" spans="1:7" ht="15.75">
      <c r="A61" s="2886" t="s">
        <v>544</v>
      </c>
      <c r="B61" s="2886"/>
      <c r="C61" s="2886"/>
      <c r="D61" s="1722"/>
      <c r="E61" s="1723"/>
      <c r="F61" s="309"/>
      <c r="G61" s="1410" t="s">
        <v>422</v>
      </c>
    </row>
    <row r="62" spans="1:7" ht="15">
      <c r="A62" s="2945" t="s">
        <v>441</v>
      </c>
      <c r="B62" s="2945"/>
      <c r="C62" s="2945"/>
      <c r="D62" s="1724"/>
      <c r="E62" s="1661"/>
      <c r="F62" s="1725"/>
      <c r="G62" s="1410"/>
    </row>
    <row r="63" spans="1:7" ht="15">
      <c r="A63" s="1679"/>
      <c r="B63" s="1679"/>
      <c r="C63" s="1679"/>
      <c r="D63" s="1724"/>
      <c r="E63" s="1661"/>
      <c r="F63" s="1725"/>
      <c r="G63" s="1410"/>
    </row>
    <row r="64" spans="1:6" ht="15">
      <c r="A64" s="1581"/>
      <c r="B64" s="1581"/>
      <c r="C64" s="1680" t="s">
        <v>545</v>
      </c>
      <c r="D64" s="1681"/>
      <c r="E64" s="1682"/>
      <c r="F64" s="1678"/>
    </row>
    <row r="65" spans="1:6" ht="15">
      <c r="A65" s="1581"/>
      <c r="B65" s="1581"/>
      <c r="C65" s="1680"/>
      <c r="D65" s="1681"/>
      <c r="E65" s="1682"/>
      <c r="F65" s="1678"/>
    </row>
    <row r="66" spans="1:6" ht="15">
      <c r="A66" s="1680"/>
      <c r="B66" s="1680"/>
      <c r="C66" s="2949" t="s">
        <v>535</v>
      </c>
      <c r="D66" s="2950"/>
      <c r="E66" s="2950"/>
      <c r="F66" s="2950"/>
    </row>
    <row r="67" spans="1:6" ht="15">
      <c r="A67" s="2877" t="s">
        <v>163</v>
      </c>
      <c r="B67" s="2943"/>
      <c r="C67" s="2877" t="s">
        <v>818</v>
      </c>
      <c r="D67" s="1683"/>
      <c r="E67" s="1659"/>
      <c r="F67" s="2951"/>
    </row>
    <row r="68" spans="1:6" ht="15">
      <c r="A68" s="2878"/>
      <c r="B68" s="2944"/>
      <c r="C68" s="2878"/>
      <c r="D68" s="1684"/>
      <c r="E68" s="1661"/>
      <c r="F68" s="2952"/>
    </row>
    <row r="69" spans="1:6" ht="15.75">
      <c r="A69" s="2953"/>
      <c r="B69" s="2954"/>
      <c r="C69" s="1685"/>
      <c r="D69" s="1686"/>
      <c r="E69" s="1662"/>
      <c r="F69" s="1687"/>
    </row>
    <row r="70" spans="1:6" ht="15">
      <c r="A70" s="2955" t="s">
        <v>536</v>
      </c>
      <c r="B70" s="2956"/>
      <c r="C70" s="2956"/>
      <c r="D70" s="2957"/>
      <c r="E70" s="2957"/>
      <c r="F70" s="2958"/>
    </row>
    <row r="71" spans="1:6" ht="14.25">
      <c r="A71" s="2961" t="s">
        <v>537</v>
      </c>
      <c r="B71" s="2962"/>
      <c r="C71" s="2962"/>
      <c r="D71" s="2962"/>
      <c r="E71" s="2962"/>
      <c r="F71" s="2963"/>
    </row>
    <row r="72" spans="1:6" ht="14.25">
      <c r="A72" s="1688"/>
      <c r="B72" s="1689"/>
      <c r="C72" s="1689"/>
      <c r="D72" s="1690"/>
      <c r="E72" s="1690"/>
      <c r="F72" s="1691"/>
    </row>
    <row r="73" spans="1:6" ht="15">
      <c r="A73" s="1692" t="s">
        <v>821</v>
      </c>
      <c r="B73" s="1692" t="s">
        <v>822</v>
      </c>
      <c r="C73" s="1693" t="s">
        <v>511</v>
      </c>
      <c r="D73" s="2964" t="s">
        <v>538</v>
      </c>
      <c r="E73" s="2965"/>
      <c r="F73" s="2966"/>
    </row>
    <row r="74" spans="1:6" ht="15">
      <c r="A74" s="1694"/>
      <c r="B74" s="1694"/>
      <c r="C74" s="1693"/>
      <c r="D74" s="1695"/>
      <c r="E74" s="1696"/>
      <c r="F74" s="1460"/>
    </row>
    <row r="75" spans="1:6" ht="15">
      <c r="A75" s="1694"/>
      <c r="B75" s="1694"/>
      <c r="C75" s="1693" t="s">
        <v>931</v>
      </c>
      <c r="D75" s="1695"/>
      <c r="E75" s="1696"/>
      <c r="F75" s="1460"/>
    </row>
    <row r="76" spans="1:6" ht="15">
      <c r="A76" s="1539"/>
      <c r="B76" s="1539"/>
      <c r="C76" s="660"/>
      <c r="D76" s="1708"/>
      <c r="E76" s="1602"/>
      <c r="F76" s="6"/>
    </row>
    <row r="77" spans="1:6" ht="15">
      <c r="A77" s="1539">
        <v>514</v>
      </c>
      <c r="B77" s="1539"/>
      <c r="C77" s="364" t="s">
        <v>2000</v>
      </c>
      <c r="D77" s="1708"/>
      <c r="E77" s="1708"/>
      <c r="F77" s="1708"/>
    </row>
    <row r="78" spans="1:6" ht="15">
      <c r="A78" s="1539"/>
      <c r="B78" s="1539"/>
      <c r="C78" s="660" t="s">
        <v>2001</v>
      </c>
      <c r="D78" s="1708"/>
      <c r="E78" s="1708"/>
      <c r="F78" s="1708"/>
    </row>
    <row r="79" spans="1:6" ht="15">
      <c r="A79" s="1539"/>
      <c r="B79" s="1539"/>
      <c r="C79" s="660" t="s">
        <v>2002</v>
      </c>
      <c r="D79" s="1708">
        <v>99000</v>
      </c>
      <c r="E79" s="1708"/>
      <c r="F79" s="1708"/>
    </row>
    <row r="80" spans="1:6" ht="15">
      <c r="A80" s="1539"/>
      <c r="B80" s="1539"/>
      <c r="C80" s="660" t="s">
        <v>2003</v>
      </c>
      <c r="D80" s="1708">
        <v>184050</v>
      </c>
      <c r="E80" s="1708"/>
      <c r="F80" s="1708"/>
    </row>
    <row r="81" spans="1:6" ht="15">
      <c r="A81" s="1539"/>
      <c r="B81" s="1539"/>
      <c r="C81" s="660"/>
      <c r="D81" s="1708"/>
      <c r="E81" s="1708"/>
      <c r="F81" s="1708"/>
    </row>
    <row r="82" spans="1:6" ht="15">
      <c r="A82" s="1539">
        <v>514132</v>
      </c>
      <c r="B82" s="1539">
        <v>514232</v>
      </c>
      <c r="C82" s="1539" t="s">
        <v>2004</v>
      </c>
      <c r="D82" s="1602">
        <f>D79+D80</f>
        <v>283050</v>
      </c>
      <c r="E82" s="1602"/>
      <c r="F82" s="1708"/>
    </row>
    <row r="83" spans="1:6" ht="15">
      <c r="A83" s="1539"/>
      <c r="B83" s="1539"/>
      <c r="C83" s="1726"/>
      <c r="D83" s="1708"/>
      <c r="E83" s="1708"/>
      <c r="F83" s="1708"/>
    </row>
    <row r="84" spans="1:6" ht="15">
      <c r="A84" s="1539">
        <v>514192</v>
      </c>
      <c r="B84" s="1539">
        <v>514292</v>
      </c>
      <c r="C84" s="1539" t="s">
        <v>2005</v>
      </c>
      <c r="D84" s="1602"/>
      <c r="E84" s="1708"/>
      <c r="F84" s="1708"/>
    </row>
    <row r="85" spans="1:6" ht="15">
      <c r="A85" s="1709"/>
      <c r="B85" s="1539"/>
      <c r="C85" s="660"/>
      <c r="D85" s="1708"/>
      <c r="E85" s="1708"/>
      <c r="F85" s="1708"/>
    </row>
    <row r="86" spans="1:6" ht="15">
      <c r="A86" s="1709"/>
      <c r="B86" s="1539" t="s">
        <v>2006</v>
      </c>
      <c r="C86" s="660"/>
      <c r="D86" s="1708"/>
      <c r="E86" s="1597"/>
      <c r="F86" s="1708"/>
    </row>
    <row r="87" spans="1:6" ht="15">
      <c r="A87" s="1539" t="s">
        <v>2007</v>
      </c>
      <c r="B87" s="1539"/>
      <c r="C87" s="1539"/>
      <c r="D87" s="1708"/>
      <c r="E87" s="1602">
        <f>D82+D84</f>
        <v>283050</v>
      </c>
      <c r="F87" s="1714"/>
    </row>
    <row r="88" spans="1:6" ht="15">
      <c r="A88" s="1539"/>
      <c r="B88" s="1539"/>
      <c r="C88" s="1539"/>
      <c r="D88" s="1708"/>
      <c r="E88" s="1708"/>
      <c r="F88" s="1708"/>
    </row>
    <row r="89" spans="1:6" ht="15">
      <c r="A89" s="1539" t="s">
        <v>2008</v>
      </c>
      <c r="B89" s="1539"/>
      <c r="C89" s="660"/>
      <c r="D89" s="1708"/>
      <c r="E89" s="1708"/>
      <c r="F89" s="1602">
        <f>E45+E60+E87</f>
        <v>900450</v>
      </c>
    </row>
    <row r="90" spans="1:6" ht="15">
      <c r="A90" s="1539"/>
      <c r="B90" s="1539"/>
      <c r="C90" s="660"/>
      <c r="D90" s="1708"/>
      <c r="E90" s="1708"/>
      <c r="F90" s="1708"/>
    </row>
    <row r="91" spans="1:6" ht="15">
      <c r="A91" s="1697">
        <v>52</v>
      </c>
      <c r="B91" s="1697"/>
      <c r="C91" s="1697" t="s">
        <v>2043</v>
      </c>
      <c r="D91" s="1727"/>
      <c r="E91" s="1647"/>
      <c r="F91" s="1705"/>
    </row>
    <row r="92" spans="1:6" ht="15">
      <c r="A92" s="1697"/>
      <c r="B92" s="1697"/>
      <c r="C92" s="1728"/>
      <c r="D92" s="1729"/>
      <c r="E92" s="1647"/>
      <c r="F92" s="1705"/>
    </row>
    <row r="93" spans="1:6" ht="15">
      <c r="A93" s="1697">
        <v>52217</v>
      </c>
      <c r="B93" s="1697">
        <v>52227</v>
      </c>
      <c r="C93" s="1728" t="s">
        <v>2009</v>
      </c>
      <c r="D93" s="1729">
        <v>3000</v>
      </c>
      <c r="E93" s="1647"/>
      <c r="F93" s="1705"/>
    </row>
    <row r="94" spans="1:6" ht="15">
      <c r="A94" s="1697"/>
      <c r="B94" s="1697"/>
      <c r="C94" s="1728"/>
      <c r="D94" s="1729"/>
      <c r="E94" s="1647"/>
      <c r="F94" s="1705"/>
    </row>
    <row r="95" spans="1:6" ht="15">
      <c r="A95" s="1697" t="s">
        <v>2010</v>
      </c>
      <c r="B95" s="1697"/>
      <c r="C95" s="1728"/>
      <c r="D95" s="1729"/>
      <c r="E95" s="1647"/>
      <c r="F95" s="1705">
        <f>SUM(D92:D94)</f>
        <v>3000</v>
      </c>
    </row>
    <row r="96" spans="1:6" ht="15">
      <c r="A96" s="1697"/>
      <c r="B96" s="1697"/>
      <c r="C96" s="1728"/>
      <c r="D96" s="1729"/>
      <c r="E96" s="1647"/>
      <c r="F96" s="1705"/>
    </row>
    <row r="97" spans="1:6" ht="15">
      <c r="A97" s="1697" t="s">
        <v>2011</v>
      </c>
      <c r="B97" s="1697"/>
      <c r="C97" s="1728"/>
      <c r="D97" s="1729"/>
      <c r="E97" s="1647"/>
      <c r="F97" s="1705">
        <f>F33+F89+F95</f>
        <v>17687547</v>
      </c>
    </row>
    <row r="98" spans="1:6" ht="15">
      <c r="A98" s="1730"/>
      <c r="B98" s="1730"/>
      <c r="C98" s="1730"/>
      <c r="D98" s="1731"/>
      <c r="E98" s="1732"/>
      <c r="F98" s="1733"/>
    </row>
    <row r="99" spans="1:6" ht="15">
      <c r="A99" s="1734"/>
      <c r="B99" s="1734"/>
      <c r="C99" s="1734"/>
      <c r="D99" s="1735"/>
      <c r="E99" s="1736"/>
      <c r="F99" s="1737"/>
    </row>
    <row r="100" spans="1:6" ht="15">
      <c r="A100" s="1734"/>
      <c r="B100" s="1734"/>
      <c r="C100" s="1734"/>
      <c r="D100" s="1735"/>
      <c r="E100" s="1736"/>
      <c r="F100" s="1737"/>
    </row>
    <row r="101" spans="1:6" ht="15">
      <c r="A101" s="1734"/>
      <c r="B101" s="1734"/>
      <c r="C101" s="1734"/>
      <c r="D101" s="1735"/>
      <c r="E101" s="1736"/>
      <c r="F101" s="1737"/>
    </row>
    <row r="102" spans="1:6" ht="15">
      <c r="A102" s="1738"/>
      <c r="B102" s="1738"/>
      <c r="C102" s="1738"/>
      <c r="D102" s="1739"/>
      <c r="E102" s="1740"/>
      <c r="F102" s="1741"/>
    </row>
    <row r="103" spans="1:6" ht="15">
      <c r="A103" s="1697"/>
      <c r="B103" s="1697"/>
      <c r="C103" s="1742" t="s">
        <v>2012</v>
      </c>
      <c r="D103" s="1727"/>
      <c r="E103" s="1647"/>
      <c r="F103" s="1705"/>
    </row>
    <row r="104" spans="1:6" ht="14.25">
      <c r="A104" s="1700"/>
      <c r="B104" s="1700"/>
      <c r="C104" s="1743"/>
      <c r="D104" s="1744"/>
      <c r="E104" s="1460"/>
      <c r="F104" s="1708"/>
    </row>
    <row r="105" spans="1:6" ht="14.25">
      <c r="A105" s="1743"/>
      <c r="B105" s="1743"/>
      <c r="C105" s="1743"/>
      <c r="D105" s="1744"/>
      <c r="E105" s="1460"/>
      <c r="F105" s="1708"/>
    </row>
    <row r="106" spans="1:6" ht="15">
      <c r="A106" s="1745">
        <v>53</v>
      </c>
      <c r="B106" s="1745"/>
      <c r="C106" s="1745" t="s">
        <v>1588</v>
      </c>
      <c r="D106" s="1746"/>
      <c r="E106" s="1650"/>
      <c r="F106" s="1650"/>
    </row>
    <row r="107" spans="1:6" ht="15">
      <c r="A107" s="1728">
        <v>5311</v>
      </c>
      <c r="B107" s="1728">
        <v>5312</v>
      </c>
      <c r="C107" s="1745" t="s">
        <v>838</v>
      </c>
      <c r="D107" s="1746"/>
      <c r="E107" s="1650"/>
      <c r="F107" s="1650"/>
    </row>
    <row r="108" spans="1:8" ht="15">
      <c r="A108" s="1728"/>
      <c r="B108" s="1728"/>
      <c r="C108" s="1747">
        <v>0.27</v>
      </c>
      <c r="D108" s="1729">
        <f>H108*27/100</f>
        <v>4681826.19</v>
      </c>
      <c r="E108" s="1729"/>
      <c r="F108" s="1650"/>
      <c r="H108" s="7">
        <f>F33+E45+D48+F95</f>
        <v>17340097</v>
      </c>
    </row>
    <row r="109" spans="1:8" ht="15">
      <c r="A109" s="1728"/>
      <c r="B109" s="1728"/>
      <c r="C109" s="1703" t="s">
        <v>2013</v>
      </c>
      <c r="D109" s="1729">
        <v>224000</v>
      </c>
      <c r="E109" s="1729"/>
      <c r="F109" s="1650"/>
      <c r="H109" s="7"/>
    </row>
    <row r="110" spans="1:8" ht="15">
      <c r="A110" s="1697">
        <v>5311</v>
      </c>
      <c r="B110" s="1697">
        <v>5312</v>
      </c>
      <c r="C110" s="1745" t="s">
        <v>2014</v>
      </c>
      <c r="D110" s="1729"/>
      <c r="E110" s="1647">
        <f>D108+D109</f>
        <v>4905826.19</v>
      </c>
      <c r="F110" s="1650"/>
      <c r="H110" s="7"/>
    </row>
    <row r="111" spans="1:8" ht="15">
      <c r="A111" s="1728"/>
      <c r="B111" s="1728"/>
      <c r="C111" s="1703"/>
      <c r="D111" s="1729"/>
      <c r="E111" s="1729"/>
      <c r="F111" s="1650"/>
      <c r="H111" s="7"/>
    </row>
    <row r="112" spans="1:6" ht="15">
      <c r="A112" s="1700"/>
      <c r="B112" s="1700"/>
      <c r="C112" s="1748" t="s">
        <v>2015</v>
      </c>
      <c r="D112" s="1744"/>
      <c r="E112" s="1460"/>
      <c r="F112" s="1609">
        <f>E110</f>
        <v>4905826.19</v>
      </c>
    </row>
    <row r="113" spans="1:6" ht="15">
      <c r="A113" s="1749"/>
      <c r="B113" s="1749"/>
      <c r="C113" s="1750"/>
      <c r="D113" s="1751"/>
      <c r="E113" s="1725"/>
      <c r="F113" s="1660"/>
    </row>
    <row r="114" spans="1:7" ht="15.75">
      <c r="A114" s="2886" t="s">
        <v>544</v>
      </c>
      <c r="B114" s="2886"/>
      <c r="C114" s="2886"/>
      <c r="D114" s="1751"/>
      <c r="E114" s="1725"/>
      <c r="F114" s="1660"/>
      <c r="G114" s="1660" t="s">
        <v>2016</v>
      </c>
    </row>
    <row r="115" spans="1:6" ht="15">
      <c r="A115" s="2945" t="s">
        <v>441</v>
      </c>
      <c r="B115" s="2945"/>
      <c r="C115" s="2945"/>
      <c r="D115" s="1751"/>
      <c r="E115" s="1725"/>
      <c r="F115" s="1660"/>
    </row>
    <row r="116" spans="1:6" ht="15">
      <c r="A116" s="1679"/>
      <c r="B116" s="1679"/>
      <c r="C116" s="1679"/>
      <c r="D116" s="1751"/>
      <c r="E116" s="1725"/>
      <c r="F116" s="1660"/>
    </row>
    <row r="117" spans="1:6" ht="15">
      <c r="A117" s="1679"/>
      <c r="B117" s="1679"/>
      <c r="C117" s="1680" t="s">
        <v>545</v>
      </c>
      <c r="D117" s="1751"/>
      <c r="E117" s="1725"/>
      <c r="F117" s="1660"/>
    </row>
    <row r="118" spans="1:7" ht="15">
      <c r="A118" s="1679"/>
      <c r="B118" s="1679"/>
      <c r="C118" s="2949" t="s">
        <v>535</v>
      </c>
      <c r="D118" s="2968"/>
      <c r="E118" s="2968"/>
      <c r="F118" s="2968"/>
      <c r="G118" s="1454"/>
    </row>
    <row r="119" spans="1:6" ht="15">
      <c r="A119" s="2955" t="s">
        <v>536</v>
      </c>
      <c r="B119" s="2956"/>
      <c r="C119" s="2956"/>
      <c r="D119" s="2956"/>
      <c r="E119" s="2956"/>
      <c r="F119" s="2960"/>
    </row>
    <row r="120" spans="1:6" ht="14.25">
      <c r="A120" s="2961" t="s">
        <v>537</v>
      </c>
      <c r="B120" s="2962"/>
      <c r="C120" s="2962"/>
      <c r="D120" s="2962"/>
      <c r="E120" s="2962"/>
      <c r="F120" s="2963"/>
    </row>
    <row r="121" spans="1:6" ht="15">
      <c r="A121" s="1700"/>
      <c r="B121" s="1700"/>
      <c r="C121" s="339" t="s">
        <v>513</v>
      </c>
      <c r="D121" s="2964" t="s">
        <v>538</v>
      </c>
      <c r="E121" s="2965"/>
      <c r="F121" s="2966"/>
    </row>
    <row r="122" spans="1:6" ht="15">
      <c r="A122" s="1748">
        <v>54</v>
      </c>
      <c r="B122" s="1743"/>
      <c r="C122" s="1745" t="s">
        <v>2017</v>
      </c>
      <c r="D122" s="1744"/>
      <c r="E122" s="1460"/>
      <c r="F122" s="1460"/>
    </row>
    <row r="123" spans="1:6" ht="14.25">
      <c r="A123" s="1700">
        <v>5411</v>
      </c>
      <c r="B123" s="1700">
        <v>5412</v>
      </c>
      <c r="C123" s="1743" t="s">
        <v>1637</v>
      </c>
      <c r="D123" s="1744"/>
      <c r="E123" s="1460"/>
      <c r="F123" s="1460"/>
    </row>
    <row r="124" spans="1:6" ht="14.25">
      <c r="A124" s="1700">
        <v>5421</v>
      </c>
      <c r="B124" s="1700">
        <v>5422</v>
      </c>
      <c r="C124" s="1743" t="s">
        <v>2083</v>
      </c>
      <c r="D124" s="1744"/>
      <c r="E124" s="1460"/>
      <c r="F124" s="1460"/>
    </row>
    <row r="125" spans="1:6" ht="15">
      <c r="A125" s="1704">
        <v>5431</v>
      </c>
      <c r="B125" s="1704">
        <v>5432</v>
      </c>
      <c r="C125" s="1752" t="s">
        <v>1472</v>
      </c>
      <c r="D125" s="1609">
        <v>70000</v>
      </c>
      <c r="E125" s="1460"/>
      <c r="F125" s="1460"/>
    </row>
    <row r="126" spans="1:6" ht="15">
      <c r="A126" s="1704">
        <v>5441</v>
      </c>
      <c r="B126" s="1704">
        <v>5442</v>
      </c>
      <c r="C126" s="1752" t="s">
        <v>2018</v>
      </c>
      <c r="D126" s="340">
        <v>20000</v>
      </c>
      <c r="E126" s="1460"/>
      <c r="F126" s="1460"/>
    </row>
    <row r="127" spans="1:6" ht="15">
      <c r="A127" s="1704">
        <v>5441</v>
      </c>
      <c r="B127" s="1704">
        <v>54422</v>
      </c>
      <c r="C127" s="1752" t="s">
        <v>2019</v>
      </c>
      <c r="D127" s="340">
        <v>10000</v>
      </c>
      <c r="E127" s="1460"/>
      <c r="F127" s="1460"/>
    </row>
    <row r="128" spans="1:6" ht="14.25">
      <c r="A128" s="1700">
        <v>5451</v>
      </c>
      <c r="B128" s="1700">
        <v>5452</v>
      </c>
      <c r="C128" s="1694" t="s">
        <v>1639</v>
      </c>
      <c r="D128" s="1461"/>
      <c r="E128" s="1460"/>
      <c r="F128" s="1460"/>
    </row>
    <row r="129" spans="1:6" ht="14.25">
      <c r="A129" s="1700">
        <v>5461</v>
      </c>
      <c r="B129" s="1700">
        <v>5462</v>
      </c>
      <c r="C129" s="1694" t="s">
        <v>1640</v>
      </c>
      <c r="D129" s="1461"/>
      <c r="E129" s="1460"/>
      <c r="F129" s="1460"/>
    </row>
    <row r="130" spans="1:6" ht="15">
      <c r="A130" s="1704">
        <v>54711</v>
      </c>
      <c r="B130" s="1704">
        <v>54721</v>
      </c>
      <c r="C130" s="1752" t="s">
        <v>2020</v>
      </c>
      <c r="D130" s="340">
        <v>50000</v>
      </c>
      <c r="E130" s="1460"/>
      <c r="F130" s="1460"/>
    </row>
    <row r="131" spans="1:6" ht="15">
      <c r="A131" s="1704">
        <v>54712</v>
      </c>
      <c r="B131" s="1704">
        <v>54722</v>
      </c>
      <c r="C131" s="1752" t="s">
        <v>2021</v>
      </c>
      <c r="D131" s="340">
        <v>50000</v>
      </c>
      <c r="E131" s="1460"/>
      <c r="F131" s="1460"/>
    </row>
    <row r="132" spans="1:6" ht="15">
      <c r="A132" s="1704">
        <v>5481</v>
      </c>
      <c r="B132" s="1704">
        <v>5482</v>
      </c>
      <c r="C132" s="1752" t="s">
        <v>2022</v>
      </c>
      <c r="D132" s="340"/>
      <c r="E132" s="1460"/>
      <c r="F132" s="1460"/>
    </row>
    <row r="133" spans="1:6" ht="14.25">
      <c r="A133" s="1700"/>
      <c r="B133" s="1700"/>
      <c r="C133" s="1694"/>
      <c r="D133" s="1461"/>
      <c r="E133" s="1460"/>
      <c r="F133" s="1460"/>
    </row>
    <row r="134" spans="1:6" ht="15">
      <c r="A134" s="1704">
        <v>5491</v>
      </c>
      <c r="B134" s="1704">
        <v>5492</v>
      </c>
      <c r="C134" s="1752" t="s">
        <v>847</v>
      </c>
      <c r="D134" s="340">
        <v>30000</v>
      </c>
      <c r="E134" s="1460"/>
      <c r="F134" s="1460"/>
    </row>
    <row r="135" spans="1:6" ht="30.75" customHeight="1">
      <c r="A135" s="1704"/>
      <c r="B135" s="1704"/>
      <c r="C135" s="1753" t="s">
        <v>2023</v>
      </c>
      <c r="D135" s="340"/>
      <c r="E135" s="1609"/>
      <c r="F135" s="1460"/>
    </row>
    <row r="136" spans="1:6" ht="16.5" customHeight="1">
      <c r="A136" s="1704">
        <v>54</v>
      </c>
      <c r="B136" s="1704"/>
      <c r="C136" s="1754" t="s">
        <v>848</v>
      </c>
      <c r="D136" s="340"/>
      <c r="E136" s="1609">
        <f>SUM(D123:D135)</f>
        <v>230000</v>
      </c>
      <c r="F136" s="1460"/>
    </row>
    <row r="137" spans="1:6" ht="15">
      <c r="A137" s="1710">
        <v>55111</v>
      </c>
      <c r="B137" s="1710">
        <v>55111</v>
      </c>
      <c r="C137" s="1755" t="s">
        <v>1392</v>
      </c>
      <c r="D137" s="1756">
        <v>60000</v>
      </c>
      <c r="E137" s="1708"/>
      <c r="F137" s="1646"/>
    </row>
    <row r="138" spans="1:6" ht="14.25">
      <c r="A138" s="1706">
        <v>55213</v>
      </c>
      <c r="B138" s="1706">
        <v>55223</v>
      </c>
      <c r="C138" s="1757" t="s">
        <v>1902</v>
      </c>
      <c r="D138" s="1758"/>
      <c r="E138" s="1708"/>
      <c r="F138" s="1646"/>
    </row>
    <row r="139" spans="1:6" ht="15">
      <c r="A139" s="1710">
        <v>55214</v>
      </c>
      <c r="B139" s="1710">
        <v>55224</v>
      </c>
      <c r="C139" s="1755" t="s">
        <v>1646</v>
      </c>
      <c r="D139" s="1756">
        <v>340000</v>
      </c>
      <c r="E139" s="1708"/>
      <c r="F139" s="1646"/>
    </row>
    <row r="140" spans="1:6" ht="15">
      <c r="A140" s="1710">
        <v>55215</v>
      </c>
      <c r="B140" s="1710">
        <v>55225</v>
      </c>
      <c r="C140" s="1755" t="s">
        <v>2024</v>
      </c>
      <c r="D140" s="1756">
        <v>40000</v>
      </c>
      <c r="E140" s="1708"/>
      <c r="F140" s="1460"/>
    </row>
    <row r="141" spans="1:6" ht="15">
      <c r="A141" s="1710">
        <v>55217</v>
      </c>
      <c r="B141" s="1710">
        <v>55227</v>
      </c>
      <c r="C141" s="1755" t="s">
        <v>1649</v>
      </c>
      <c r="D141" s="1756">
        <v>10000</v>
      </c>
      <c r="E141" s="1708"/>
      <c r="F141" s="1460"/>
    </row>
    <row r="142" spans="1:6" ht="15">
      <c r="A142" s="1710">
        <v>55218</v>
      </c>
      <c r="B142" s="1710">
        <v>55228</v>
      </c>
      <c r="C142" s="1755" t="s">
        <v>1650</v>
      </c>
      <c r="D142" s="1756">
        <v>30000</v>
      </c>
      <c r="E142" s="1708"/>
      <c r="F142" s="1460"/>
    </row>
    <row r="143" spans="1:6" ht="15">
      <c r="A143" s="1710">
        <v>55219</v>
      </c>
      <c r="B143" s="1710">
        <v>55229</v>
      </c>
      <c r="C143" s="1755" t="s">
        <v>1651</v>
      </c>
      <c r="D143" s="1756">
        <v>60000</v>
      </c>
      <c r="E143" s="1708"/>
      <c r="F143" s="1460"/>
    </row>
    <row r="144" spans="1:6" ht="26.25" customHeight="1">
      <c r="A144" s="1706"/>
      <c r="B144" s="1706"/>
      <c r="C144" s="1759" t="s">
        <v>2025</v>
      </c>
      <c r="D144" s="1758"/>
      <c r="E144" s="1708"/>
      <c r="F144" s="1460"/>
    </row>
    <row r="145" spans="1:6" ht="20.25" customHeight="1">
      <c r="A145" s="1706">
        <v>5541</v>
      </c>
      <c r="B145" s="1706">
        <v>5542</v>
      </c>
      <c r="C145" s="1757" t="s">
        <v>857</v>
      </c>
      <c r="D145" s="1758"/>
      <c r="E145" s="1708"/>
      <c r="F145" s="1460"/>
    </row>
    <row r="146" spans="1:6" ht="14.25">
      <c r="A146" s="1706"/>
      <c r="B146" s="1706"/>
      <c r="C146" s="1760" t="s">
        <v>2026</v>
      </c>
      <c r="D146" s="1758"/>
      <c r="E146" s="1708"/>
      <c r="F146" s="1460"/>
    </row>
    <row r="147" spans="1:6" ht="15">
      <c r="A147" s="1710">
        <v>55</v>
      </c>
      <c r="B147" s="1710"/>
      <c r="C147" s="1761" t="s">
        <v>2027</v>
      </c>
      <c r="D147" s="1756"/>
      <c r="E147" s="1602">
        <f>SUM(D137:D146)</f>
        <v>540000</v>
      </c>
      <c r="F147" s="1460"/>
    </row>
    <row r="148" spans="1:6" ht="15">
      <c r="A148" s="1706"/>
      <c r="B148" s="1706"/>
      <c r="C148" s="1757"/>
      <c r="D148" s="1758"/>
      <c r="E148" s="1602"/>
      <c r="F148" s="1460"/>
    </row>
    <row r="149" spans="1:6" ht="15">
      <c r="A149" s="1539">
        <v>56</v>
      </c>
      <c r="B149" s="1709"/>
      <c r="C149" s="1698" t="s">
        <v>1659</v>
      </c>
      <c r="D149" s="1756"/>
      <c r="E149" s="1708"/>
      <c r="F149" s="1460"/>
    </row>
    <row r="150" spans="1:8" ht="15">
      <c r="A150" s="1762">
        <v>56111</v>
      </c>
      <c r="B150" s="1762">
        <v>56121</v>
      </c>
      <c r="C150" s="1763" t="s">
        <v>2028</v>
      </c>
      <c r="D150" s="1705">
        <f>H150*27/100</f>
        <v>207900</v>
      </c>
      <c r="E150" s="1595" t="s">
        <v>1177</v>
      </c>
      <c r="F150" s="1729"/>
      <c r="H150" s="7">
        <f>E136+E147</f>
        <v>770000</v>
      </c>
    </row>
    <row r="151" spans="1:6" ht="14.25">
      <c r="A151" s="1764"/>
      <c r="B151" s="1764"/>
      <c r="C151" s="1765"/>
      <c r="D151" s="1595"/>
      <c r="E151" s="1595"/>
      <c r="F151" s="1729"/>
    </row>
    <row r="152" spans="1:6" ht="15">
      <c r="A152" s="1762">
        <v>56211</v>
      </c>
      <c r="B152" s="1762">
        <v>56221</v>
      </c>
      <c r="C152" s="1763" t="s">
        <v>1400</v>
      </c>
      <c r="D152" s="1696">
        <v>80000</v>
      </c>
      <c r="E152" s="1595"/>
      <c r="F152" s="1729"/>
    </row>
    <row r="153" spans="1:6" ht="14.25">
      <c r="A153" s="1764"/>
      <c r="B153" s="1764"/>
      <c r="C153" s="1765" t="s">
        <v>2029</v>
      </c>
      <c r="D153" s="1595"/>
      <c r="E153" s="1595"/>
      <c r="F153" s="1729"/>
    </row>
    <row r="154" spans="1:6" ht="14.25">
      <c r="A154" s="1764"/>
      <c r="B154" s="1764"/>
      <c r="C154" s="1765"/>
      <c r="D154" s="1595"/>
      <c r="E154" s="1595"/>
      <c r="F154" s="1729"/>
    </row>
    <row r="155" spans="1:6" ht="15">
      <c r="A155" s="1704">
        <v>56213</v>
      </c>
      <c r="B155" s="1704">
        <v>56223</v>
      </c>
      <c r="C155" s="1755" t="s">
        <v>2030</v>
      </c>
      <c r="D155" s="1766">
        <v>3000</v>
      </c>
      <c r="E155" s="1645"/>
      <c r="F155" s="1646"/>
    </row>
    <row r="156" spans="1:6" ht="14.25">
      <c r="A156" s="1700"/>
      <c r="B156" s="1700"/>
      <c r="C156" s="1767" t="s">
        <v>2031</v>
      </c>
      <c r="D156" s="1768"/>
      <c r="E156" s="1645"/>
      <c r="F156" s="1646"/>
    </row>
    <row r="157" spans="1:6" ht="14.25">
      <c r="A157" s="1700">
        <v>56317</v>
      </c>
      <c r="B157" s="1700">
        <v>56327</v>
      </c>
      <c r="C157" s="1757" t="s">
        <v>1656</v>
      </c>
      <c r="D157" s="1758"/>
      <c r="E157" s="1708"/>
      <c r="F157" s="1460"/>
    </row>
    <row r="158" spans="1:6" ht="14.25">
      <c r="A158" s="1700"/>
      <c r="B158" s="1700"/>
      <c r="C158" s="1757" t="s">
        <v>2032</v>
      </c>
      <c r="D158" s="1758"/>
      <c r="E158" s="1708"/>
      <c r="F158" s="1460"/>
    </row>
    <row r="159" spans="1:6" ht="15">
      <c r="A159" s="1704">
        <v>5641</v>
      </c>
      <c r="B159" s="1704">
        <v>5642</v>
      </c>
      <c r="C159" s="1755" t="s">
        <v>429</v>
      </c>
      <c r="D159" s="1756"/>
      <c r="E159" s="1708"/>
      <c r="F159" s="1460"/>
    </row>
    <row r="160" spans="1:6" ht="14.25">
      <c r="A160" s="1769"/>
      <c r="B160" s="1769"/>
      <c r="C160" s="1770"/>
      <c r="D160" s="1758"/>
      <c r="E160" s="1708"/>
      <c r="F160" s="1460"/>
    </row>
    <row r="161" spans="1:6" ht="15">
      <c r="A161" s="1704">
        <v>56</v>
      </c>
      <c r="B161" s="1771"/>
      <c r="C161" s="1772" t="s">
        <v>876</v>
      </c>
      <c r="D161" s="1756"/>
      <c r="E161" s="1602">
        <f>SUM(D150:D160)</f>
        <v>290900</v>
      </c>
      <c r="F161" s="1609"/>
    </row>
    <row r="162" spans="1:6" ht="14.25">
      <c r="A162" s="1700"/>
      <c r="B162" s="1700"/>
      <c r="C162" s="1757"/>
      <c r="D162" s="1758"/>
      <c r="E162" s="1708"/>
      <c r="F162" s="6"/>
    </row>
    <row r="163" spans="1:6" ht="15">
      <c r="A163" s="1748">
        <v>57</v>
      </c>
      <c r="B163" s="1743"/>
      <c r="C163" s="1773" t="s">
        <v>1663</v>
      </c>
      <c r="D163" s="1758"/>
      <c r="E163" s="1708"/>
      <c r="F163" s="1460"/>
    </row>
    <row r="164" spans="1:6" ht="15">
      <c r="A164" s="1774">
        <v>57119</v>
      </c>
      <c r="B164" s="1774">
        <v>57129</v>
      </c>
      <c r="C164" s="1757" t="s">
        <v>2033</v>
      </c>
      <c r="D164" s="1775"/>
      <c r="E164" s="1650"/>
      <c r="F164" s="1650"/>
    </row>
    <row r="165" spans="1:6" ht="14.25">
      <c r="A165" s="1700">
        <v>57211</v>
      </c>
      <c r="B165" s="1700">
        <v>57221</v>
      </c>
      <c r="C165" s="1757" t="s">
        <v>1661</v>
      </c>
      <c r="D165" s="1758"/>
      <c r="E165" s="1708"/>
      <c r="F165" s="1460"/>
    </row>
    <row r="166" spans="1:6" ht="15">
      <c r="A166" s="1776">
        <v>57213</v>
      </c>
      <c r="B166" s="1776">
        <v>57223</v>
      </c>
      <c r="C166" s="1777" t="s">
        <v>2034</v>
      </c>
      <c r="D166" s="1778"/>
      <c r="E166" s="1778">
        <v>385800</v>
      </c>
      <c r="F166" s="1779"/>
    </row>
    <row r="167" spans="1:6" ht="14.25">
      <c r="A167" s="1700"/>
      <c r="B167" s="1700"/>
      <c r="C167" s="1759" t="s">
        <v>2035</v>
      </c>
      <c r="D167" s="1758"/>
      <c r="E167" s="1708"/>
      <c r="F167" s="1460"/>
    </row>
    <row r="168" spans="1:6" ht="14.25">
      <c r="A168" s="1694"/>
      <c r="B168" s="1694"/>
      <c r="C168" s="1694"/>
      <c r="D168" s="1461"/>
      <c r="E168" s="1461"/>
      <c r="F168" s="1461"/>
    </row>
    <row r="169" spans="1:6" ht="15">
      <c r="A169" s="1694"/>
      <c r="B169" s="1694"/>
      <c r="C169" s="1752" t="s">
        <v>2036</v>
      </c>
      <c r="D169" s="340"/>
      <c r="E169" s="1461"/>
      <c r="F169" s="340">
        <f>E136+E147+E161+E166</f>
        <v>1446700</v>
      </c>
    </row>
    <row r="170" spans="1:6" ht="14.25">
      <c r="A170" s="1780"/>
      <c r="B170" s="1780"/>
      <c r="C170" s="1780"/>
      <c r="D170" s="1482"/>
      <c r="E170" s="1482"/>
      <c r="F170" s="1482"/>
    </row>
    <row r="171" spans="1:6" ht="14.25">
      <c r="A171" s="1781"/>
      <c r="B171" s="1781"/>
      <c r="C171" s="1781"/>
      <c r="D171" s="1487"/>
      <c r="E171" s="1487"/>
      <c r="F171" s="1487"/>
    </row>
    <row r="172" spans="1:6" ht="15">
      <c r="A172" s="1752"/>
      <c r="B172" s="1752" t="s">
        <v>2037</v>
      </c>
      <c r="C172" s="1752"/>
      <c r="D172" s="1461"/>
      <c r="E172" s="1461"/>
      <c r="F172" s="340"/>
    </row>
    <row r="173" spans="1:6" ht="15">
      <c r="A173" s="1752"/>
      <c r="B173" s="1752"/>
      <c r="C173" s="1752" t="s">
        <v>2038</v>
      </c>
      <c r="D173" s="1461"/>
      <c r="E173" s="340">
        <f>F97</f>
        <v>17687547</v>
      </c>
      <c r="F173" s="340"/>
    </row>
    <row r="174" spans="1:6" ht="15">
      <c r="A174" s="1752"/>
      <c r="B174" s="1752"/>
      <c r="C174" s="1752" t="s">
        <v>2039</v>
      </c>
      <c r="D174" s="1461"/>
      <c r="E174" s="340">
        <f>F112</f>
        <v>4905826.19</v>
      </c>
      <c r="F174" s="340"/>
    </row>
    <row r="175" spans="1:6" ht="15">
      <c r="A175" s="1752"/>
      <c r="B175" s="1752"/>
      <c r="C175" s="1752" t="s">
        <v>513</v>
      </c>
      <c r="D175" s="1461"/>
      <c r="E175" s="340">
        <f>F169</f>
        <v>1446700</v>
      </c>
      <c r="F175" s="340"/>
    </row>
    <row r="176" spans="1:6" ht="15">
      <c r="A176" s="2969" t="s">
        <v>1375</v>
      </c>
      <c r="B176" s="2969"/>
      <c r="C176" s="2969"/>
      <c r="D176" s="340"/>
      <c r="E176" s="1461"/>
      <c r="F176" s="340">
        <f>E173+E174+E175</f>
        <v>24040073.19</v>
      </c>
    </row>
    <row r="177" spans="1:6" ht="14.25">
      <c r="A177" s="1782"/>
      <c r="B177" s="1782"/>
      <c r="C177" s="1782"/>
      <c r="D177" s="1564"/>
      <c r="E177" s="1564"/>
      <c r="F177" s="1564"/>
    </row>
    <row r="178" spans="1:6" ht="14.25">
      <c r="A178" s="1782"/>
      <c r="B178" s="1782"/>
      <c r="C178" s="1782"/>
      <c r="D178" s="1564"/>
      <c r="E178" s="1564"/>
      <c r="F178" s="1564"/>
    </row>
    <row r="179" spans="1:6" ht="14.25">
      <c r="A179" s="1782"/>
      <c r="B179" s="1782"/>
      <c r="C179" s="1782"/>
      <c r="D179" s="1564"/>
      <c r="E179" s="1564"/>
      <c r="F179" s="1564"/>
    </row>
    <row r="180" spans="1:6" ht="15.75">
      <c r="A180" s="2866"/>
      <c r="B180" s="2866"/>
      <c r="C180" s="2866"/>
      <c r="D180" s="1564"/>
      <c r="E180" s="1564"/>
      <c r="F180" s="1725" t="s">
        <v>1177</v>
      </c>
    </row>
    <row r="181" spans="1:6" ht="12.75">
      <c r="A181" s="2959"/>
      <c r="B181" s="2959"/>
      <c r="C181" s="2967"/>
      <c r="D181" s="2870"/>
      <c r="E181" s="2870"/>
      <c r="F181" s="2870"/>
    </row>
    <row r="182" spans="1:6" ht="12.75">
      <c r="A182" s="2959"/>
      <c r="B182" s="2959"/>
      <c r="C182" s="2967"/>
      <c r="D182" s="2870"/>
      <c r="E182" s="2870"/>
      <c r="F182" s="2870"/>
    </row>
    <row r="183" spans="1:6" ht="15.75">
      <c r="A183" s="2869"/>
      <c r="B183" s="2869"/>
      <c r="C183" s="2870"/>
      <c r="D183" s="2870"/>
      <c r="E183" s="2870"/>
      <c r="F183" s="2870"/>
    </row>
    <row r="184" spans="1:6" ht="15">
      <c r="A184" s="2957"/>
      <c r="B184" s="2957"/>
      <c r="C184" s="2957"/>
      <c r="D184" s="2957"/>
      <c r="E184" s="2957"/>
      <c r="F184" s="2957"/>
    </row>
    <row r="185" spans="1:6" ht="14.25">
      <c r="A185" s="1782"/>
      <c r="B185" s="1782"/>
      <c r="C185" s="1782"/>
      <c r="D185" s="1564"/>
      <c r="E185" s="1564"/>
      <c r="F185" s="1564"/>
    </row>
    <row r="186" spans="1:6" ht="14.25">
      <c r="A186" s="1782"/>
      <c r="B186" s="1782"/>
      <c r="C186" s="1782"/>
      <c r="D186" s="1564"/>
      <c r="E186" s="1564"/>
      <c r="F186" s="1564"/>
    </row>
    <row r="187" spans="1:6" ht="14.25">
      <c r="A187" s="1782"/>
      <c r="B187" s="1782"/>
      <c r="C187" s="1782"/>
      <c r="D187" s="1564"/>
      <c r="E187" s="1564"/>
      <c r="F187" s="1564"/>
    </row>
    <row r="188" spans="1:6" ht="14.25">
      <c r="A188" s="1782"/>
      <c r="B188" s="1782"/>
      <c r="C188" s="1783"/>
      <c r="D188" s="1564"/>
      <c r="E188" s="1564"/>
      <c r="F188" s="1564"/>
    </row>
    <row r="189" spans="1:6" ht="14.25">
      <c r="A189" s="1782"/>
      <c r="B189" s="1782"/>
      <c r="C189" s="1782"/>
      <c r="D189" s="1564"/>
      <c r="E189" s="1564"/>
      <c r="F189" s="1564"/>
    </row>
    <row r="190" spans="1:6" ht="14.25">
      <c r="A190" s="1782"/>
      <c r="B190" s="1782"/>
      <c r="C190" s="1782"/>
      <c r="D190" s="1564"/>
      <c r="E190" s="1564"/>
      <c r="F190" s="1564"/>
    </row>
    <row r="191" spans="1:6" ht="15">
      <c r="A191" s="1782"/>
      <c r="B191" s="1784"/>
      <c r="C191" s="1784"/>
      <c r="D191" s="1564"/>
      <c r="E191" s="1564"/>
      <c r="F191" s="1564"/>
    </row>
    <row r="192" spans="1:6" ht="15">
      <c r="A192" s="1785"/>
      <c r="B192" s="1784"/>
      <c r="C192" s="1782"/>
      <c r="D192" s="1564"/>
      <c r="E192" s="1564"/>
      <c r="F192" s="1564"/>
    </row>
    <row r="193" spans="1:6" ht="15">
      <c r="A193" s="1782"/>
      <c r="B193" s="1784"/>
      <c r="C193" s="1782"/>
      <c r="D193" s="1564"/>
      <c r="E193" s="1564"/>
      <c r="F193" s="1499"/>
    </row>
  </sheetData>
  <sheetProtection/>
  <mergeCells count="33">
    <mergeCell ref="C118:F118"/>
    <mergeCell ref="A176:C176"/>
    <mergeCell ref="D73:F73"/>
    <mergeCell ref="A67:B68"/>
    <mergeCell ref="C67:C68"/>
    <mergeCell ref="A71:F71"/>
    <mergeCell ref="A70:F70"/>
    <mergeCell ref="C66:F66"/>
    <mergeCell ref="A69:B69"/>
    <mergeCell ref="A11:F11"/>
    <mergeCell ref="F67:F68"/>
    <mergeCell ref="D13:F13"/>
    <mergeCell ref="A61:C61"/>
    <mergeCell ref="A184:F184"/>
    <mergeCell ref="A114:C114"/>
    <mergeCell ref="A180:C180"/>
    <mergeCell ref="A181:B182"/>
    <mergeCell ref="A119:F119"/>
    <mergeCell ref="A120:F120"/>
    <mergeCell ref="A183:B183"/>
    <mergeCell ref="D121:F121"/>
    <mergeCell ref="A115:C115"/>
    <mergeCell ref="C181:F183"/>
    <mergeCell ref="A1:C1"/>
    <mergeCell ref="A7:B8"/>
    <mergeCell ref="C7:C8"/>
    <mergeCell ref="A62:C62"/>
    <mergeCell ref="A45:C45"/>
    <mergeCell ref="C6:F6"/>
    <mergeCell ref="A2:C2"/>
    <mergeCell ref="F7:F8"/>
    <mergeCell ref="A9:B9"/>
    <mergeCell ref="A10:F10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83" r:id="rId1"/>
  <rowBreaks count="2" manualBreakCount="2">
    <brk id="60" max="255" man="1"/>
    <brk id="11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F42"/>
  <sheetViews>
    <sheetView view="pageBreakPreview" zoomScaleSheetLayoutView="100" zoomScalePageLayoutView="0" workbookViewId="0" topLeftCell="A13">
      <selection activeCell="B29" sqref="B29"/>
    </sheetView>
  </sheetViews>
  <sheetFormatPr defaultColWidth="9.140625" defaultRowHeight="12.75"/>
  <cols>
    <col min="1" max="1" width="2.7109375" style="0" customWidth="1"/>
    <col min="2" max="2" width="65.140625" style="0" bestFit="1" customWidth="1"/>
    <col min="3" max="3" width="15.8515625" style="0" customWidth="1"/>
    <col min="4" max="4" width="16.00390625" style="0" customWidth="1"/>
    <col min="5" max="5" width="15.00390625" style="0" customWidth="1"/>
    <col min="6" max="6" width="15.28125" style="0" customWidth="1"/>
  </cols>
  <sheetData>
    <row r="1" spans="1:6" ht="12.75">
      <c r="A1" s="24"/>
      <c r="B1" s="2387" t="s">
        <v>781</v>
      </c>
      <c r="C1" s="2387"/>
      <c r="D1" s="2387"/>
      <c r="E1" s="2387"/>
      <c r="F1" s="2387"/>
    </row>
    <row r="2" spans="1:5" ht="12.75">
      <c r="A2" s="24"/>
      <c r="B2" s="24"/>
      <c r="C2" s="24"/>
      <c r="D2" s="24"/>
      <c r="E2" s="9"/>
    </row>
    <row r="3" spans="1:6" ht="12.75">
      <c r="A3" s="2419" t="s">
        <v>1345</v>
      </c>
      <c r="B3" s="2419"/>
      <c r="C3" s="2419"/>
      <c r="D3" s="2419"/>
      <c r="E3" s="2419"/>
      <c r="F3" s="2419"/>
    </row>
    <row r="4" spans="1:5" ht="12.75">
      <c r="A4" s="255"/>
      <c r="B4" s="255"/>
      <c r="C4" s="255"/>
      <c r="D4" s="255"/>
      <c r="E4" s="255"/>
    </row>
    <row r="5" spans="1:5" ht="12.75">
      <c r="A5" s="255"/>
      <c r="B5" s="255"/>
      <c r="C5" s="255"/>
      <c r="D5" s="255"/>
      <c r="E5" s="255"/>
    </row>
    <row r="6" spans="1:5" ht="12.75">
      <c r="A6" s="255"/>
      <c r="B6" s="255"/>
      <c r="C6" s="255"/>
      <c r="D6" s="255"/>
      <c r="E6" s="255"/>
    </row>
    <row r="7" spans="1:6" ht="18">
      <c r="A7" s="2337" t="s">
        <v>1594</v>
      </c>
      <c r="B7" s="2337"/>
      <c r="C7" s="2337"/>
      <c r="D7" s="2337"/>
      <c r="E7" s="2337"/>
      <c r="F7" s="2337"/>
    </row>
    <row r="8" spans="1:6" ht="18">
      <c r="A8" s="2337" t="s">
        <v>1362</v>
      </c>
      <c r="B8" s="2337"/>
      <c r="C8" s="2337"/>
      <c r="D8" s="2337"/>
      <c r="E8" s="2337"/>
      <c r="F8" s="2337"/>
    </row>
    <row r="9" spans="1:5" ht="18">
      <c r="A9" s="36"/>
      <c r="B9" s="36"/>
      <c r="C9" s="36"/>
      <c r="D9" s="36"/>
      <c r="E9" s="170"/>
    </row>
    <row r="10" spans="2:6" ht="12.75">
      <c r="B10" s="2396" t="s">
        <v>1371</v>
      </c>
      <c r="C10" s="2396"/>
      <c r="D10" s="2396"/>
      <c r="E10" s="2396"/>
      <c r="F10" s="2396"/>
    </row>
    <row r="11" spans="2:6" ht="15.75">
      <c r="B11" s="37" t="s">
        <v>1432</v>
      </c>
      <c r="C11" s="171" t="s">
        <v>1578</v>
      </c>
      <c r="D11" s="37" t="s">
        <v>1579</v>
      </c>
      <c r="E11" s="37" t="s">
        <v>822</v>
      </c>
      <c r="F11" s="171" t="s">
        <v>1353</v>
      </c>
    </row>
    <row r="12" spans="2:6" ht="12.75">
      <c r="B12" s="172" t="s">
        <v>1595</v>
      </c>
      <c r="C12" s="39">
        <f>'841126-116-Önk. igazgatás'!E162</f>
        <v>354</v>
      </c>
      <c r="D12" s="6">
        <f aca="true" t="shared" si="0" ref="D12:D18">C12</f>
        <v>354</v>
      </c>
      <c r="E12" s="13">
        <v>533</v>
      </c>
      <c r="F12" s="2035">
        <f>E12/D12</f>
        <v>1.5056497175141244</v>
      </c>
    </row>
    <row r="13" spans="2:6" ht="12.75">
      <c r="B13" s="172" t="s">
        <v>1358</v>
      </c>
      <c r="C13" s="39">
        <v>0</v>
      </c>
      <c r="D13" s="6">
        <v>0</v>
      </c>
      <c r="E13" s="13">
        <v>273</v>
      </c>
      <c r="F13" s="2035"/>
    </row>
    <row r="14" spans="2:6" ht="12.75">
      <c r="B14" s="172" t="s">
        <v>1596</v>
      </c>
      <c r="C14" s="39">
        <f>'841126-116-Önk. igazgatás'!E163</f>
        <v>12986</v>
      </c>
      <c r="D14" s="6">
        <f t="shared" si="0"/>
        <v>12986</v>
      </c>
      <c r="E14" s="13">
        <v>8649</v>
      </c>
      <c r="F14" s="2035">
        <f aca="true" t="shared" si="1" ref="F14:F42">E14/D14</f>
        <v>0.6660249499460958</v>
      </c>
    </row>
    <row r="15" spans="2:6" ht="12.75">
      <c r="B15" s="172" t="s">
        <v>1135</v>
      </c>
      <c r="C15" s="6">
        <f>'841126-116-Önk. igazgatás'!E159</f>
        <v>1800</v>
      </c>
      <c r="D15" s="6">
        <f t="shared" si="0"/>
        <v>1800</v>
      </c>
      <c r="E15" s="13">
        <v>1889</v>
      </c>
      <c r="F15" s="2035">
        <f t="shared" si="1"/>
        <v>1.0494444444444444</v>
      </c>
    </row>
    <row r="16" spans="2:6" ht="12.75">
      <c r="B16" s="172" t="s">
        <v>1597</v>
      </c>
      <c r="C16" s="6">
        <f>'841126-116-Önk. igazgatás'!E160</f>
        <v>33932</v>
      </c>
      <c r="D16" s="6">
        <f t="shared" si="0"/>
        <v>33932</v>
      </c>
      <c r="E16" s="13">
        <v>150</v>
      </c>
      <c r="F16" s="2035">
        <f t="shared" si="1"/>
        <v>0.004420605917717788</v>
      </c>
    </row>
    <row r="17" spans="2:6" ht="12.75">
      <c r="B17" s="176" t="s">
        <v>1367</v>
      </c>
      <c r="C17" s="6">
        <f>'841126-116-Önk. igazgatás'!E161</f>
        <v>100</v>
      </c>
      <c r="D17" s="6">
        <f t="shared" si="0"/>
        <v>100</v>
      </c>
      <c r="E17" s="13"/>
      <c r="F17" s="2035">
        <f t="shared" si="1"/>
        <v>0</v>
      </c>
    </row>
    <row r="18" spans="2:6" ht="12.75">
      <c r="B18" s="172" t="s">
        <v>1417</v>
      </c>
      <c r="C18" s="6">
        <f>'841126-116-Önk. igazgatás'!E158</f>
        <v>1500</v>
      </c>
      <c r="D18" s="6">
        <f t="shared" si="0"/>
        <v>1500</v>
      </c>
      <c r="E18" s="13">
        <v>299</v>
      </c>
      <c r="F18" s="2035">
        <f t="shared" si="1"/>
        <v>0.19933333333333333</v>
      </c>
    </row>
    <row r="19" spans="2:6" ht="12.75">
      <c r="B19" s="172" t="s">
        <v>1359</v>
      </c>
      <c r="C19" s="6">
        <v>0</v>
      </c>
      <c r="D19" s="6">
        <v>0</v>
      </c>
      <c r="E19" s="13">
        <v>10</v>
      </c>
      <c r="F19" s="2035">
        <v>0</v>
      </c>
    </row>
    <row r="20" spans="2:6" s="9" customFormat="1" ht="12.75">
      <c r="B20" s="256" t="s">
        <v>1598</v>
      </c>
      <c r="C20" s="35">
        <f>SUM(C12:C18)</f>
        <v>50672</v>
      </c>
      <c r="D20" s="35">
        <f>SUM(D12:D19)</f>
        <v>50672</v>
      </c>
      <c r="E20" s="35">
        <f>SUM(E12:E19)</f>
        <v>11803</v>
      </c>
      <c r="F20" s="2035">
        <f t="shared" si="1"/>
        <v>0.2329294284812125</v>
      </c>
    </row>
    <row r="21" spans="2:6" ht="12.75">
      <c r="B21" s="310" t="s">
        <v>533</v>
      </c>
      <c r="C21" s="6">
        <f>'841126-116-Önk. igazgatás'!E170</f>
        <v>4000</v>
      </c>
      <c r="D21" s="6">
        <f>C21</f>
        <v>4000</v>
      </c>
      <c r="E21" s="13">
        <v>4000</v>
      </c>
      <c r="F21" s="2035">
        <f t="shared" si="1"/>
        <v>1</v>
      </c>
    </row>
    <row r="22" spans="2:6" ht="12.75">
      <c r="B22" s="310" t="s">
        <v>534</v>
      </c>
      <c r="C22" s="6">
        <f>'841126-116-Önk. igazgatás'!E171</f>
        <v>1000</v>
      </c>
      <c r="D22" s="6">
        <f aca="true" t="shared" si="2" ref="D22:D40">C22</f>
        <v>1000</v>
      </c>
      <c r="E22" s="13">
        <v>750</v>
      </c>
      <c r="F22" s="2035">
        <f t="shared" si="1"/>
        <v>0.75</v>
      </c>
    </row>
    <row r="23" spans="2:6" ht="12.75">
      <c r="B23" s="310" t="s">
        <v>1182</v>
      </c>
      <c r="C23" s="6">
        <f>'841126-116-Önk. igazgatás'!E172</f>
        <v>1000</v>
      </c>
      <c r="D23" s="6">
        <f t="shared" si="2"/>
        <v>1000</v>
      </c>
      <c r="E23" s="13">
        <v>500</v>
      </c>
      <c r="F23" s="2035">
        <f t="shared" si="1"/>
        <v>0.5</v>
      </c>
    </row>
    <row r="24" spans="2:6" ht="12.75">
      <c r="B24" s="176" t="s">
        <v>2090</v>
      </c>
      <c r="C24" s="14">
        <f>'841126-116-Önk. igazgatás'!E174</f>
        <v>100</v>
      </c>
      <c r="D24" s="6">
        <f t="shared" si="2"/>
        <v>100</v>
      </c>
      <c r="E24" s="13">
        <v>100</v>
      </c>
      <c r="F24" s="2035">
        <f t="shared" si="1"/>
        <v>1</v>
      </c>
    </row>
    <row r="25" spans="2:6" ht="12.75">
      <c r="B25" s="176" t="s">
        <v>2091</v>
      </c>
      <c r="C25" s="14">
        <f>'841126-116-Önk. igazgatás'!E175</f>
        <v>100</v>
      </c>
      <c r="D25" s="6">
        <f t="shared" si="2"/>
        <v>100</v>
      </c>
      <c r="E25" s="13">
        <v>100</v>
      </c>
      <c r="F25" s="2035">
        <f t="shared" si="1"/>
        <v>1</v>
      </c>
    </row>
    <row r="26" spans="2:6" ht="12.75">
      <c r="B26" s="176" t="s">
        <v>245</v>
      </c>
      <c r="C26" s="14">
        <f>'841126-116-Önk. igazgatás'!E176</f>
        <v>100</v>
      </c>
      <c r="D26" s="6">
        <f t="shared" si="2"/>
        <v>100</v>
      </c>
      <c r="E26" s="13">
        <v>100</v>
      </c>
      <c r="F26" s="2035">
        <f t="shared" si="1"/>
        <v>1</v>
      </c>
    </row>
    <row r="27" spans="2:6" ht="12.75">
      <c r="B27" s="176" t="s">
        <v>246</v>
      </c>
      <c r="C27" s="14">
        <f>'841126-116-Önk. igazgatás'!E177</f>
        <v>100</v>
      </c>
      <c r="D27" s="6">
        <f t="shared" si="2"/>
        <v>100</v>
      </c>
      <c r="E27" s="13">
        <v>100</v>
      </c>
      <c r="F27" s="2035">
        <f t="shared" si="1"/>
        <v>1</v>
      </c>
    </row>
    <row r="28" spans="2:6" ht="12.75">
      <c r="B28" s="176" t="s">
        <v>247</v>
      </c>
      <c r="C28" s="14">
        <f>'841126-116-Önk. igazgatás'!E178</f>
        <v>100</v>
      </c>
      <c r="D28" s="6">
        <f t="shared" si="2"/>
        <v>100</v>
      </c>
      <c r="E28" s="13">
        <v>100</v>
      </c>
      <c r="F28" s="2035">
        <f t="shared" si="1"/>
        <v>1</v>
      </c>
    </row>
    <row r="29" spans="2:6" ht="12.75">
      <c r="B29" s="176" t="s">
        <v>2087</v>
      </c>
      <c r="C29" s="14">
        <f>'841126-116-Önk. igazgatás'!E180</f>
        <v>500</v>
      </c>
      <c r="D29" s="6">
        <f t="shared" si="2"/>
        <v>500</v>
      </c>
      <c r="E29" s="13">
        <v>355</v>
      </c>
      <c r="F29" s="2035">
        <f t="shared" si="1"/>
        <v>0.71</v>
      </c>
    </row>
    <row r="30" spans="2:6" ht="12.75">
      <c r="B30" s="176" t="s">
        <v>780</v>
      </c>
      <c r="C30" s="14">
        <f>'841126-116-Önk. igazgatás'!E181</f>
        <v>20</v>
      </c>
      <c r="D30" s="6">
        <f t="shared" si="2"/>
        <v>20</v>
      </c>
      <c r="E30" s="13">
        <v>-5</v>
      </c>
      <c r="F30" s="2035">
        <f t="shared" si="1"/>
        <v>-0.25</v>
      </c>
    </row>
    <row r="31" spans="2:6" ht="12.75">
      <c r="B31" s="172" t="s">
        <v>1379</v>
      </c>
      <c r="C31" s="14">
        <f>'841126-116-Önk. igazgatás'!E182</f>
        <v>600</v>
      </c>
      <c r="D31" s="6">
        <f t="shared" si="2"/>
        <v>600</v>
      </c>
      <c r="E31" s="13">
        <v>450</v>
      </c>
      <c r="F31" s="2035">
        <f t="shared" si="1"/>
        <v>0.75</v>
      </c>
    </row>
    <row r="32" spans="2:6" ht="12.75">
      <c r="B32" s="172" t="s">
        <v>1360</v>
      </c>
      <c r="C32" s="14">
        <v>0</v>
      </c>
      <c r="D32" s="6">
        <v>0</v>
      </c>
      <c r="E32" s="13">
        <v>14</v>
      </c>
      <c r="F32" s="2035">
        <v>0</v>
      </c>
    </row>
    <row r="33" spans="2:6" ht="12.75">
      <c r="B33" s="176" t="s">
        <v>586</v>
      </c>
      <c r="C33" s="14">
        <f>'841126-116-Önk. igazgatás'!E183</f>
        <v>60</v>
      </c>
      <c r="D33" s="6">
        <f t="shared" si="2"/>
        <v>60</v>
      </c>
      <c r="E33" s="13">
        <v>0</v>
      </c>
      <c r="F33" s="2035">
        <f t="shared" si="1"/>
        <v>0</v>
      </c>
    </row>
    <row r="34" spans="2:6" ht="12.75">
      <c r="B34" s="310" t="s">
        <v>1130</v>
      </c>
      <c r="C34" s="14">
        <f>'841126-116-Önk. igazgatás'!E185</f>
        <v>10</v>
      </c>
      <c r="D34" s="6">
        <f t="shared" si="2"/>
        <v>10</v>
      </c>
      <c r="E34" s="13">
        <v>0</v>
      </c>
      <c r="F34" s="2035">
        <f t="shared" si="1"/>
        <v>0</v>
      </c>
    </row>
    <row r="35" spans="2:6" ht="12.75">
      <c r="B35" s="310" t="s">
        <v>1299</v>
      </c>
      <c r="C35" s="14">
        <f>'841126-116-Önk. igazgatás'!E184</f>
        <v>0</v>
      </c>
      <c r="D35" s="6">
        <f t="shared" si="2"/>
        <v>0</v>
      </c>
      <c r="E35" s="13">
        <v>0</v>
      </c>
      <c r="F35" s="2035">
        <v>0</v>
      </c>
    </row>
    <row r="36" spans="2:6" ht="12.75">
      <c r="B36" s="310" t="s">
        <v>1361</v>
      </c>
      <c r="C36" s="14">
        <v>0</v>
      </c>
      <c r="D36" s="6">
        <v>0</v>
      </c>
      <c r="E36" s="13">
        <v>5</v>
      </c>
      <c r="F36" s="2035">
        <v>0</v>
      </c>
    </row>
    <row r="37" spans="2:6" ht="25.5">
      <c r="B37" s="450" t="s">
        <v>1306</v>
      </c>
      <c r="C37" s="14">
        <f>'841126-116-Önk. igazgatás'!E187</f>
        <v>6726</v>
      </c>
      <c r="D37" s="6">
        <f t="shared" si="2"/>
        <v>6726</v>
      </c>
      <c r="E37" s="13">
        <v>10843</v>
      </c>
      <c r="F37" s="2035">
        <f t="shared" si="1"/>
        <v>1.612102289622361</v>
      </c>
    </row>
    <row r="38" spans="2:6" ht="12.75">
      <c r="B38" s="450" t="s">
        <v>1309</v>
      </c>
      <c r="C38" s="14">
        <f>'841126-116-Önk. igazgatás'!E186</f>
        <v>33000</v>
      </c>
      <c r="D38" s="6">
        <f t="shared" si="2"/>
        <v>33000</v>
      </c>
      <c r="E38" s="13">
        <v>33010</v>
      </c>
      <c r="F38" s="2035">
        <f t="shared" si="1"/>
        <v>1.0003030303030302</v>
      </c>
    </row>
    <row r="39" spans="2:6" ht="12.75">
      <c r="B39" s="450" t="s">
        <v>454</v>
      </c>
      <c r="C39" s="14">
        <f>'841126-116-Önk. igazgatás'!E188</f>
        <v>30</v>
      </c>
      <c r="D39" s="6">
        <f t="shared" si="2"/>
        <v>30</v>
      </c>
      <c r="E39" s="13">
        <v>0</v>
      </c>
      <c r="F39" s="2035">
        <f t="shared" si="1"/>
        <v>0</v>
      </c>
    </row>
    <row r="40" spans="2:6" ht="12.75">
      <c r="B40" s="756" t="s">
        <v>2076</v>
      </c>
      <c r="C40" s="14">
        <f>'841126-116-Önk. igazgatás'!E189</f>
        <v>10369</v>
      </c>
      <c r="D40" s="6">
        <f t="shared" si="2"/>
        <v>10369</v>
      </c>
      <c r="E40" s="13">
        <v>5385</v>
      </c>
      <c r="F40" s="2035">
        <f t="shared" si="1"/>
        <v>0.5193364837496384</v>
      </c>
    </row>
    <row r="41" spans="2:6" ht="12.75">
      <c r="B41" s="256" t="s">
        <v>1599</v>
      </c>
      <c r="C41" s="35">
        <f>SUM(C21:C40)</f>
        <v>57815</v>
      </c>
      <c r="D41" s="35">
        <f>SUM(D21:D40)</f>
        <v>57815</v>
      </c>
      <c r="E41" s="35">
        <f>SUM(E21:E40)</f>
        <v>55807</v>
      </c>
      <c r="F41" s="2035">
        <f t="shared" si="1"/>
        <v>0.9652685289284788</v>
      </c>
    </row>
    <row r="42" spans="2:6" s="30" customFormat="1" ht="15.75">
      <c r="B42" s="38" t="s">
        <v>1600</v>
      </c>
      <c r="C42" s="182">
        <f>C20+C41</f>
        <v>108487</v>
      </c>
      <c r="D42" s="182">
        <f>D20+D41</f>
        <v>108487</v>
      </c>
      <c r="E42" s="182">
        <f>E20+E41</f>
        <v>67610</v>
      </c>
      <c r="F42" s="2035">
        <f t="shared" si="1"/>
        <v>0.6232083106731682</v>
      </c>
    </row>
  </sheetData>
  <sheetProtection/>
  <mergeCells count="5">
    <mergeCell ref="B10:F10"/>
    <mergeCell ref="B1:F1"/>
    <mergeCell ref="A3:F3"/>
    <mergeCell ref="A7:F7"/>
    <mergeCell ref="A8:F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6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7">
      <selection activeCell="G81" sqref="G81"/>
    </sheetView>
  </sheetViews>
  <sheetFormatPr defaultColWidth="9.140625" defaultRowHeight="12.75"/>
  <cols>
    <col min="1" max="1" width="17.8515625" style="0" bestFit="1" customWidth="1"/>
    <col min="2" max="2" width="15.421875" style="0" bestFit="1" customWidth="1"/>
    <col min="4" max="4" width="19.00390625" style="0" bestFit="1" customWidth="1"/>
    <col min="5" max="5" width="22.57421875" style="0" bestFit="1" customWidth="1"/>
    <col min="6" max="6" width="18.00390625" style="0" bestFit="1" customWidth="1"/>
  </cols>
  <sheetData>
    <row r="2" spans="1:6" ht="16.5">
      <c r="A2" s="2988" t="s">
        <v>59</v>
      </c>
      <c r="B2" s="2988"/>
      <c r="C2" s="2988"/>
      <c r="D2" s="2988"/>
      <c r="E2" s="2988"/>
      <c r="F2" s="2988"/>
    </row>
    <row r="4" spans="1:6" ht="15.75">
      <c r="A4" s="2989" t="s">
        <v>60</v>
      </c>
      <c r="B4" s="2989"/>
      <c r="C4" s="2989"/>
      <c r="D4" s="2989"/>
      <c r="E4" s="2989"/>
      <c r="F4" s="2989"/>
    </row>
    <row r="5" spans="1:6" ht="15.75">
      <c r="A5" s="30"/>
      <c r="B5" s="30"/>
      <c r="C5" s="30"/>
      <c r="D5" s="30"/>
      <c r="E5" s="30"/>
      <c r="F5" s="98"/>
    </row>
    <row r="7" spans="1:5" ht="15.75">
      <c r="A7" s="30" t="s">
        <v>61</v>
      </c>
      <c r="B7" s="2990" t="s">
        <v>62</v>
      </c>
      <c r="C7" s="2990"/>
      <c r="D7" s="2990"/>
      <c r="E7" s="2990"/>
    </row>
    <row r="10" spans="1:7" ht="12.75">
      <c r="A10" s="1399" t="s">
        <v>63</v>
      </c>
      <c r="B10" s="2984" t="s">
        <v>64</v>
      </c>
      <c r="C10" s="2984"/>
      <c r="D10" s="2981" t="s">
        <v>65</v>
      </c>
      <c r="E10" s="2981" t="s">
        <v>66</v>
      </c>
      <c r="F10" s="2981" t="s">
        <v>67</v>
      </c>
      <c r="G10" s="2986"/>
    </row>
    <row r="11" spans="1:7" ht="12.75">
      <c r="A11" s="1402" t="s">
        <v>68</v>
      </c>
      <c r="B11" s="2982" t="s">
        <v>69</v>
      </c>
      <c r="C11" s="2982"/>
      <c r="D11" s="2981"/>
      <c r="E11" s="2981"/>
      <c r="F11" s="2981"/>
      <c r="G11" s="2986"/>
    </row>
    <row r="12" spans="1:7" ht="12.75">
      <c r="A12" s="1403"/>
      <c r="B12" s="1404"/>
      <c r="C12" s="1405"/>
      <c r="D12" s="1405"/>
      <c r="E12" s="1406"/>
      <c r="F12" s="1406"/>
      <c r="G12" s="1404"/>
    </row>
    <row r="13" spans="1:7" ht="12.75">
      <c r="A13" s="1403"/>
      <c r="B13" s="1404"/>
      <c r="C13" s="1405"/>
      <c r="D13" s="1407" t="s">
        <v>70</v>
      </c>
      <c r="E13" s="1402" t="s">
        <v>71</v>
      </c>
      <c r="F13" s="1402" t="s">
        <v>71</v>
      </c>
      <c r="G13" s="1404"/>
    </row>
    <row r="14" spans="1:7" ht="12.75">
      <c r="A14" s="1408" t="s">
        <v>72</v>
      </c>
      <c r="B14" s="2987" t="s">
        <v>73</v>
      </c>
      <c r="C14" s="2987"/>
      <c r="D14" s="1409"/>
      <c r="E14" s="1409"/>
      <c r="F14" s="1409"/>
      <c r="G14" s="1410"/>
    </row>
    <row r="15" spans="1:7" ht="12.75">
      <c r="A15" s="1411" t="s">
        <v>74</v>
      </c>
      <c r="B15" s="2972" t="s">
        <v>75</v>
      </c>
      <c r="C15" s="2972"/>
      <c r="D15" s="1412">
        <v>7341</v>
      </c>
      <c r="E15" s="1413">
        <v>6275143</v>
      </c>
      <c r="F15" s="1413">
        <v>119152</v>
      </c>
      <c r="G15" s="1410"/>
    </row>
    <row r="16" spans="1:7" ht="12.75">
      <c r="A16" s="1411" t="s">
        <v>76</v>
      </c>
      <c r="B16" s="2972" t="s">
        <v>914</v>
      </c>
      <c r="C16" s="2972"/>
      <c r="D16" s="1412">
        <v>406</v>
      </c>
      <c r="E16" s="1413">
        <v>149151</v>
      </c>
      <c r="F16" s="1413">
        <v>14095</v>
      </c>
      <c r="G16" s="1410"/>
    </row>
    <row r="17" spans="1:7" ht="12.75">
      <c r="A17" s="1411" t="s">
        <v>915</v>
      </c>
      <c r="B17" s="2972" t="s">
        <v>916</v>
      </c>
      <c r="C17" s="2972"/>
      <c r="D17" s="1412">
        <v>3580</v>
      </c>
      <c r="E17" s="1413">
        <v>3413994</v>
      </c>
      <c r="F17" s="1413">
        <v>127942</v>
      </c>
      <c r="G17" s="1410"/>
    </row>
    <row r="18" spans="1:7" ht="12.75">
      <c r="A18" s="1411" t="s">
        <v>917</v>
      </c>
      <c r="B18" s="2972" t="s">
        <v>918</v>
      </c>
      <c r="C18" s="2972"/>
      <c r="D18" s="1412">
        <v>29</v>
      </c>
      <c r="E18" s="1413">
        <v>38506</v>
      </c>
      <c r="F18" s="1413">
        <v>3885</v>
      </c>
      <c r="G18" s="1410"/>
    </row>
    <row r="19" spans="1:7" ht="12.75">
      <c r="A19" s="1411" t="s">
        <v>919</v>
      </c>
      <c r="B19" s="2972" t="s">
        <v>100</v>
      </c>
      <c r="C19" s="2972"/>
      <c r="D19" s="1412">
        <v>128</v>
      </c>
      <c r="E19" s="1413">
        <v>132370</v>
      </c>
      <c r="F19" s="1413">
        <v>89520</v>
      </c>
      <c r="G19" s="1410"/>
    </row>
    <row r="20" spans="1:7" ht="12.75">
      <c r="A20" s="1411" t="s">
        <v>920</v>
      </c>
      <c r="B20" s="2972" t="s">
        <v>921</v>
      </c>
      <c r="C20" s="2972"/>
      <c r="D20" s="1412"/>
      <c r="E20" s="1413"/>
      <c r="F20" s="1413"/>
      <c r="G20" s="1410"/>
    </row>
    <row r="21" spans="1:7" ht="12.75">
      <c r="A21" s="1411" t="s">
        <v>922</v>
      </c>
      <c r="B21" s="2972" t="s">
        <v>923</v>
      </c>
      <c r="C21" s="2972"/>
      <c r="D21" s="1412">
        <v>37</v>
      </c>
      <c r="E21" s="1413">
        <v>45849</v>
      </c>
      <c r="F21" s="1413"/>
      <c r="G21" s="1410"/>
    </row>
    <row r="22" spans="1:7" ht="12.75">
      <c r="A22" s="1411" t="s">
        <v>924</v>
      </c>
      <c r="B22" s="2972" t="s">
        <v>925</v>
      </c>
      <c r="C22" s="2972"/>
      <c r="D22" s="1412"/>
      <c r="E22" s="1413"/>
      <c r="F22" s="1413">
        <v>940</v>
      </c>
      <c r="G22" s="1410"/>
    </row>
    <row r="23" spans="1:7" ht="12.75">
      <c r="A23" s="1411" t="s">
        <v>926</v>
      </c>
      <c r="B23" s="2972" t="s">
        <v>1548</v>
      </c>
      <c r="C23" s="2972"/>
      <c r="D23" s="1412"/>
      <c r="E23" s="1413"/>
      <c r="F23" s="1413"/>
      <c r="G23" s="1410"/>
    </row>
    <row r="24" spans="1:7" ht="12.75">
      <c r="A24" s="1411" t="s">
        <v>1549</v>
      </c>
      <c r="B24" s="2972" t="s">
        <v>1550</v>
      </c>
      <c r="C24" s="2972"/>
      <c r="D24" s="1412">
        <v>8</v>
      </c>
      <c r="E24" s="1413">
        <v>9746</v>
      </c>
      <c r="F24" s="1413"/>
      <c r="G24" s="1410"/>
    </row>
    <row r="25" spans="1:7" ht="12.75">
      <c r="A25" s="1411" t="s">
        <v>1551</v>
      </c>
      <c r="B25" s="2972" t="s">
        <v>1552</v>
      </c>
      <c r="C25" s="2972"/>
      <c r="D25" s="1412"/>
      <c r="E25" s="1413"/>
      <c r="F25" s="1413"/>
      <c r="G25" s="1410"/>
    </row>
    <row r="26" spans="1:7" ht="12.75">
      <c r="A26" s="1411" t="s">
        <v>1553</v>
      </c>
      <c r="B26" s="2972" t="s">
        <v>1554</v>
      </c>
      <c r="C26" s="2972"/>
      <c r="D26" s="1412"/>
      <c r="E26" s="1413"/>
      <c r="F26" s="1413"/>
      <c r="G26" s="1410"/>
    </row>
    <row r="27" spans="1:7" ht="12.75">
      <c r="A27" s="1411" t="s">
        <v>1555</v>
      </c>
      <c r="B27" s="2972" t="s">
        <v>1556</v>
      </c>
      <c r="C27" s="2972"/>
      <c r="D27" s="1412"/>
      <c r="E27" s="1413"/>
      <c r="F27" s="1413"/>
      <c r="G27" s="1410"/>
    </row>
    <row r="28" spans="1:7" ht="12.75">
      <c r="A28" s="1411" t="s">
        <v>1557</v>
      </c>
      <c r="B28" s="2972" t="s">
        <v>1558</v>
      </c>
      <c r="C28" s="2972"/>
      <c r="D28" s="1412"/>
      <c r="E28" s="1413"/>
      <c r="F28" s="1413">
        <v>4000</v>
      </c>
      <c r="G28" s="1410"/>
    </row>
    <row r="29" spans="1:7" ht="12.75">
      <c r="A29" s="1411" t="s">
        <v>1559</v>
      </c>
      <c r="B29" s="2972" t="s">
        <v>2212</v>
      </c>
      <c r="C29" s="2972"/>
      <c r="D29" s="1412"/>
      <c r="E29" s="1413"/>
      <c r="F29" s="1413"/>
      <c r="G29" s="1410"/>
    </row>
    <row r="30" spans="1:7" ht="12.75">
      <c r="A30" s="1411" t="s">
        <v>2213</v>
      </c>
      <c r="B30" s="2972" t="s">
        <v>2214</v>
      </c>
      <c r="C30" s="2972"/>
      <c r="D30" s="1412"/>
      <c r="E30" s="1413"/>
      <c r="F30" s="1413"/>
      <c r="G30" s="1410"/>
    </row>
    <row r="31" spans="1:7" ht="12.75">
      <c r="A31" s="1411" t="s">
        <v>2215</v>
      </c>
      <c r="B31" s="2972" t="s">
        <v>2216</v>
      </c>
      <c r="C31" s="2972"/>
      <c r="D31" s="1412"/>
      <c r="E31" s="1413"/>
      <c r="F31" s="1413"/>
      <c r="G31" s="1410"/>
    </row>
    <row r="32" spans="1:7" ht="12.75">
      <c r="A32" s="1411" t="s">
        <v>2217</v>
      </c>
      <c r="B32" s="2972" t="s">
        <v>2218</v>
      </c>
      <c r="C32" s="2972"/>
      <c r="D32" s="1412"/>
      <c r="E32" s="1413"/>
      <c r="F32" s="1413"/>
      <c r="G32" s="1410"/>
    </row>
    <row r="33" spans="1:7" ht="12.75">
      <c r="A33" s="1411" t="s">
        <v>2219</v>
      </c>
      <c r="B33" s="2972" t="s">
        <v>2220</v>
      </c>
      <c r="C33" s="2972"/>
      <c r="D33" s="1412">
        <v>8</v>
      </c>
      <c r="E33" s="1413">
        <v>8645</v>
      </c>
      <c r="F33" s="1413"/>
      <c r="G33" s="1410"/>
    </row>
    <row r="34" spans="1:7" ht="12.75">
      <c r="A34" s="1411" t="s">
        <v>2221</v>
      </c>
      <c r="B34" s="2972" t="s">
        <v>218</v>
      </c>
      <c r="C34" s="2972"/>
      <c r="D34" s="1412">
        <v>30</v>
      </c>
      <c r="E34" s="1413">
        <v>27811</v>
      </c>
      <c r="F34" s="1413"/>
      <c r="G34" s="1410"/>
    </row>
    <row r="35" spans="1:7" ht="12.75">
      <c r="A35" s="1411" t="s">
        <v>2222</v>
      </c>
      <c r="B35" s="2972" t="s">
        <v>82</v>
      </c>
      <c r="C35" s="2972"/>
      <c r="D35" s="1412">
        <v>1100</v>
      </c>
      <c r="E35" s="1413">
        <v>928855</v>
      </c>
      <c r="F35" s="1413"/>
      <c r="G35" s="1410"/>
    </row>
    <row r="36" spans="1:7" ht="12.75">
      <c r="A36" s="1411" t="s">
        <v>2223</v>
      </c>
      <c r="B36" s="2972" t="s">
        <v>2224</v>
      </c>
      <c r="C36" s="2972"/>
      <c r="D36" s="1412"/>
      <c r="E36" s="1413"/>
      <c r="F36" s="1413"/>
      <c r="G36" s="1410"/>
    </row>
    <row r="37" spans="1:7" ht="12.75">
      <c r="A37" s="1411" t="s">
        <v>2225</v>
      </c>
      <c r="B37" s="2972" t="s">
        <v>2226</v>
      </c>
      <c r="C37" s="2972"/>
      <c r="D37" s="1412">
        <v>16</v>
      </c>
      <c r="E37" s="1413">
        <v>15379</v>
      </c>
      <c r="F37" s="1413">
        <v>27078</v>
      </c>
      <c r="G37" s="1410"/>
    </row>
    <row r="38" spans="1:7" ht="12.75">
      <c r="A38" s="1414" t="s">
        <v>2227</v>
      </c>
      <c r="B38" s="2983" t="s">
        <v>2228</v>
      </c>
      <c r="C38" s="2983"/>
      <c r="D38" s="1412"/>
      <c r="E38" s="1413"/>
      <c r="F38" s="1413"/>
      <c r="G38" s="1410"/>
    </row>
    <row r="39" spans="1:7" ht="12.75">
      <c r="A39" s="1415"/>
      <c r="B39" s="1416"/>
      <c r="C39" s="1417"/>
      <c r="D39" s="1410"/>
      <c r="E39" s="1410"/>
      <c r="F39" s="1410"/>
      <c r="G39" s="1410"/>
    </row>
    <row r="40" spans="1:7" ht="12.75">
      <c r="A40" s="1415"/>
      <c r="B40" s="1416"/>
      <c r="C40" s="1417"/>
      <c r="D40" s="1410"/>
      <c r="E40" s="1410"/>
      <c r="F40" s="1410"/>
      <c r="G40" s="1410"/>
    </row>
    <row r="41" spans="1:7" ht="12.75">
      <c r="A41" s="1415"/>
      <c r="B41" s="1416"/>
      <c r="C41" s="1417"/>
      <c r="D41" s="1410"/>
      <c r="E41" s="1410"/>
      <c r="F41" s="1410"/>
      <c r="G41" s="1410"/>
    </row>
    <row r="42" spans="1:7" ht="12.75">
      <c r="A42" s="1415"/>
      <c r="B42" s="1416"/>
      <c r="C42" s="1417"/>
      <c r="D42" s="1410"/>
      <c r="E42" s="1410"/>
      <c r="F42" s="1410"/>
      <c r="G42" s="1410"/>
    </row>
    <row r="43" spans="1:7" ht="12.75">
      <c r="A43" s="1399" t="s">
        <v>63</v>
      </c>
      <c r="B43" s="2984" t="s">
        <v>64</v>
      </c>
      <c r="C43" s="2984"/>
      <c r="D43" s="2981" t="s">
        <v>65</v>
      </c>
      <c r="E43" s="2981" t="s">
        <v>66</v>
      </c>
      <c r="F43" s="2981" t="s">
        <v>67</v>
      </c>
      <c r="G43" s="1401"/>
    </row>
    <row r="44" spans="1:7" ht="12.75">
      <c r="A44" s="1402" t="s">
        <v>68</v>
      </c>
      <c r="B44" s="2982" t="s">
        <v>69</v>
      </c>
      <c r="C44" s="2982"/>
      <c r="D44" s="2981"/>
      <c r="E44" s="2981"/>
      <c r="F44" s="2981"/>
      <c r="G44" s="1401"/>
    </row>
    <row r="45" spans="1:7" ht="12.75">
      <c r="A45" s="1400"/>
      <c r="B45" s="1399"/>
      <c r="C45" s="1418"/>
      <c r="D45" s="1400"/>
      <c r="E45" s="1400"/>
      <c r="F45" s="1400"/>
      <c r="G45" s="1401"/>
    </row>
    <row r="46" spans="1:7" ht="12.75">
      <c r="A46" s="1402"/>
      <c r="B46" s="1419"/>
      <c r="C46" s="1420"/>
      <c r="D46" s="1407"/>
      <c r="E46" s="1402"/>
      <c r="F46" s="1402"/>
      <c r="G46" s="1401"/>
    </row>
    <row r="47" spans="1:7" ht="12.75">
      <c r="A47" s="2982" t="s">
        <v>2229</v>
      </c>
      <c r="B47" s="2984" t="s">
        <v>2230</v>
      </c>
      <c r="C47" s="2984"/>
      <c r="D47" s="1400"/>
      <c r="E47" s="1400"/>
      <c r="F47" s="1400"/>
      <c r="G47" s="1401"/>
    </row>
    <row r="48" spans="1:7" ht="12.75">
      <c r="A48" s="2982"/>
      <c r="B48" s="2985" t="s">
        <v>2231</v>
      </c>
      <c r="C48" s="2985"/>
      <c r="D48" s="1421"/>
      <c r="E48" s="1421"/>
      <c r="F48" s="1421"/>
      <c r="G48" s="1410"/>
    </row>
    <row r="49" spans="1:7" ht="12.75">
      <c r="A49" s="1411" t="s">
        <v>2232</v>
      </c>
      <c r="B49" s="2972" t="s">
        <v>2233</v>
      </c>
      <c r="C49" s="2972"/>
      <c r="D49" s="1412">
        <v>4334</v>
      </c>
      <c r="E49" s="1413">
        <v>4762473</v>
      </c>
      <c r="F49" s="1413">
        <v>2828292</v>
      </c>
      <c r="G49" s="1410"/>
    </row>
    <row r="50" spans="1:7" ht="12.75">
      <c r="A50" s="1411" t="s">
        <v>2234</v>
      </c>
      <c r="B50" s="2972" t="s">
        <v>2235</v>
      </c>
      <c r="C50" s="2972"/>
      <c r="D50" s="1412">
        <v>16</v>
      </c>
      <c r="E50" s="1413">
        <v>15552</v>
      </c>
      <c r="F50" s="1413">
        <v>15997</v>
      </c>
      <c r="G50" s="1410"/>
    </row>
    <row r="51" spans="1:7" ht="12.75">
      <c r="A51" s="1411" t="s">
        <v>2236</v>
      </c>
      <c r="B51" s="2972" t="s">
        <v>2237</v>
      </c>
      <c r="C51" s="2972"/>
      <c r="D51" s="1412"/>
      <c r="E51" s="1413"/>
      <c r="F51" s="1413"/>
      <c r="G51" s="1410"/>
    </row>
    <row r="52" spans="1:7" ht="12.75">
      <c r="A52" s="2979">
        <v>112</v>
      </c>
      <c r="B52" s="2980" t="s">
        <v>2238</v>
      </c>
      <c r="C52" s="2980"/>
      <c r="D52" s="1422"/>
      <c r="E52" s="1423"/>
      <c r="F52" s="1423"/>
      <c r="G52" s="1410"/>
    </row>
    <row r="53" spans="1:7" ht="12.75">
      <c r="A53" s="2979"/>
      <c r="B53" s="2980" t="s">
        <v>2239</v>
      </c>
      <c r="C53" s="2980"/>
      <c r="D53" s="1424">
        <v>1377</v>
      </c>
      <c r="E53" s="1425">
        <v>1493354</v>
      </c>
      <c r="F53" s="1425">
        <v>678302</v>
      </c>
      <c r="G53" s="1410"/>
    </row>
    <row r="54" spans="1:7" ht="12.75">
      <c r="A54" s="1426">
        <v>113</v>
      </c>
      <c r="B54" s="2972" t="s">
        <v>1020</v>
      </c>
      <c r="C54" s="2972"/>
      <c r="D54" s="1412">
        <v>137</v>
      </c>
      <c r="E54" s="1413">
        <v>140734</v>
      </c>
      <c r="F54" s="1413"/>
      <c r="G54" s="1410"/>
    </row>
    <row r="55" spans="1:7" ht="12.75">
      <c r="A55" s="1426">
        <v>114</v>
      </c>
      <c r="B55" s="2972" t="s">
        <v>175</v>
      </c>
      <c r="C55" s="2972"/>
      <c r="D55" s="1412"/>
      <c r="E55" s="1413"/>
      <c r="F55" s="1413"/>
      <c r="G55" s="1410"/>
    </row>
    <row r="56" spans="1:7" ht="12.75">
      <c r="A56" s="1426">
        <v>115</v>
      </c>
      <c r="B56" s="2972" t="s">
        <v>956</v>
      </c>
      <c r="C56" s="2972"/>
      <c r="D56" s="1412"/>
      <c r="E56" s="1413"/>
      <c r="F56" s="1413"/>
      <c r="G56" s="1410"/>
    </row>
    <row r="57" spans="1:7" ht="12.75">
      <c r="A57" s="2976">
        <v>116</v>
      </c>
      <c r="B57" s="2974" t="s">
        <v>346</v>
      </c>
      <c r="C57" s="2974"/>
      <c r="D57" s="1422"/>
      <c r="E57" s="1423"/>
      <c r="F57" s="1423"/>
      <c r="G57" s="1410"/>
    </row>
    <row r="58" spans="1:7" ht="12.75">
      <c r="A58" s="2976"/>
      <c r="B58" s="2978" t="s">
        <v>957</v>
      </c>
      <c r="C58" s="2978"/>
      <c r="D58" s="1424">
        <v>3644</v>
      </c>
      <c r="E58" s="1425">
        <v>3379017</v>
      </c>
      <c r="F58" s="1425">
        <v>527856</v>
      </c>
      <c r="G58" s="1410"/>
    </row>
    <row r="59" spans="1:7" ht="12.75">
      <c r="A59" s="1426">
        <v>117</v>
      </c>
      <c r="B59" s="2972" t="s">
        <v>958</v>
      </c>
      <c r="C59" s="2972"/>
      <c r="D59" s="1412"/>
      <c r="E59" s="1413"/>
      <c r="F59" s="1413"/>
      <c r="G59" s="1410"/>
    </row>
    <row r="60" spans="1:7" ht="12.75">
      <c r="A60" s="1426">
        <v>118</v>
      </c>
      <c r="B60" s="2972" t="s">
        <v>959</v>
      </c>
      <c r="C60" s="2972"/>
      <c r="D60" s="1412">
        <v>10</v>
      </c>
      <c r="E60" s="1413">
        <v>6562</v>
      </c>
      <c r="F60" s="1413"/>
      <c r="G60" s="1410"/>
    </row>
    <row r="61" spans="1:7" ht="12.75">
      <c r="A61" s="1426">
        <v>124</v>
      </c>
      <c r="B61" s="2972" t="s">
        <v>1568</v>
      </c>
      <c r="C61" s="2972"/>
      <c r="D61" s="1412">
        <v>1781</v>
      </c>
      <c r="E61" s="1413">
        <v>1701217</v>
      </c>
      <c r="F61" s="1413">
        <v>1533146</v>
      </c>
      <c r="G61" s="1410"/>
    </row>
    <row r="62" spans="1:7" ht="12.75">
      <c r="A62" s="1426">
        <v>125</v>
      </c>
      <c r="B62" s="2972" t="s">
        <v>960</v>
      </c>
      <c r="C62" s="2972"/>
      <c r="D62" s="1412">
        <v>1827</v>
      </c>
      <c r="E62" s="1413">
        <v>3240036</v>
      </c>
      <c r="F62" s="1413">
        <v>783489</v>
      </c>
      <c r="G62" s="1410"/>
    </row>
    <row r="63" spans="1:7" ht="12.75">
      <c r="A63" s="1426">
        <v>126</v>
      </c>
      <c r="B63" s="2972" t="s">
        <v>1569</v>
      </c>
      <c r="C63" s="2972"/>
      <c r="D63" s="1412"/>
      <c r="E63" s="1413"/>
      <c r="F63" s="1413"/>
      <c r="G63" s="1410"/>
    </row>
    <row r="64" spans="1:7" ht="12.75">
      <c r="A64" s="1426">
        <v>128</v>
      </c>
      <c r="B64" s="2972" t="s">
        <v>1570</v>
      </c>
      <c r="C64" s="2972"/>
      <c r="D64" s="1412"/>
      <c r="E64" s="1413"/>
      <c r="F64" s="1413"/>
      <c r="G64" s="1410"/>
    </row>
    <row r="65" spans="1:7" ht="12.75">
      <c r="A65" s="1426">
        <v>138</v>
      </c>
      <c r="B65" s="2972" t="s">
        <v>961</v>
      </c>
      <c r="C65" s="2972"/>
      <c r="D65" s="1412"/>
      <c r="E65" s="1413"/>
      <c r="F65" s="1413"/>
      <c r="G65" s="1410"/>
    </row>
    <row r="66" spans="1:7" ht="12.75">
      <c r="A66" s="1426">
        <v>140</v>
      </c>
      <c r="B66" s="2972" t="s">
        <v>962</v>
      </c>
      <c r="C66" s="2972"/>
      <c r="D66" s="1412">
        <v>2688</v>
      </c>
      <c r="E66" s="1413">
        <v>2267737</v>
      </c>
      <c r="F66" s="1413">
        <v>460336</v>
      </c>
      <c r="G66" s="1410"/>
    </row>
    <row r="67" spans="1:7" ht="12.75">
      <c r="A67" s="1426">
        <v>142</v>
      </c>
      <c r="B67" s="1427" t="s">
        <v>963</v>
      </c>
      <c r="C67" s="1428"/>
      <c r="D67" s="1412">
        <v>47</v>
      </c>
      <c r="E67" s="1413">
        <v>44625</v>
      </c>
      <c r="F67" s="1413"/>
      <c r="G67" s="1410"/>
    </row>
    <row r="68" spans="1:7" ht="12.75">
      <c r="A68" s="1426">
        <v>144</v>
      </c>
      <c r="B68" s="2972" t="s">
        <v>964</v>
      </c>
      <c r="C68" s="2972"/>
      <c r="D68" s="1412"/>
      <c r="E68" s="1413"/>
      <c r="F68" s="1413"/>
      <c r="G68" s="1410"/>
    </row>
    <row r="69" spans="1:7" ht="12.75">
      <c r="A69" s="2973">
        <v>154</v>
      </c>
      <c r="B69" s="2974" t="s">
        <v>965</v>
      </c>
      <c r="C69" s="2974"/>
      <c r="D69" s="1422"/>
      <c r="E69" s="1423"/>
      <c r="F69" s="1423"/>
      <c r="G69" s="1410"/>
    </row>
    <row r="70" spans="1:7" ht="12.75">
      <c r="A70" s="2973"/>
      <c r="B70" s="2977" t="s">
        <v>966</v>
      </c>
      <c r="C70" s="2977"/>
      <c r="D70" s="1429"/>
      <c r="E70" s="1430"/>
      <c r="F70" s="1430"/>
      <c r="G70" s="1410"/>
    </row>
    <row r="71" spans="1:7" ht="12.75">
      <c r="A71" s="2973"/>
      <c r="B71" s="2978" t="s">
        <v>967</v>
      </c>
      <c r="C71" s="2978"/>
      <c r="D71" s="1424"/>
      <c r="E71" s="1425"/>
      <c r="F71" s="1425"/>
      <c r="G71" s="1410"/>
    </row>
    <row r="72" spans="1:7" ht="12.75">
      <c r="A72" s="2976">
        <v>158</v>
      </c>
      <c r="B72" s="2974" t="s">
        <v>968</v>
      </c>
      <c r="C72" s="2974"/>
      <c r="D72" s="1422"/>
      <c r="E72" s="1423"/>
      <c r="F72" s="1423"/>
      <c r="G72" s="1410"/>
    </row>
    <row r="73" spans="1:7" ht="12.75">
      <c r="A73" s="2976"/>
      <c r="B73" s="2975" t="s">
        <v>969</v>
      </c>
      <c r="C73" s="2975"/>
      <c r="D73" s="1424"/>
      <c r="E73" s="1425"/>
      <c r="F73" s="1425"/>
      <c r="G73" s="1410"/>
    </row>
    <row r="74" spans="1:7" ht="12.75">
      <c r="A74" s="2973">
        <v>159</v>
      </c>
      <c r="B74" s="2974" t="s">
        <v>970</v>
      </c>
      <c r="C74" s="2974"/>
      <c r="D74" s="1422"/>
      <c r="E74" s="1423"/>
      <c r="F74" s="1423"/>
      <c r="G74" s="1410"/>
    </row>
    <row r="75" spans="1:7" ht="12.75">
      <c r="A75" s="2973"/>
      <c r="B75" s="2975" t="s">
        <v>1077</v>
      </c>
      <c r="C75" s="2975"/>
      <c r="D75" s="1424"/>
      <c r="E75" s="1425"/>
      <c r="F75" s="1425"/>
      <c r="G75" s="1410"/>
    </row>
    <row r="76" spans="1:7" ht="12.75">
      <c r="A76" s="1426">
        <v>160</v>
      </c>
      <c r="B76" s="2972" t="s">
        <v>971</v>
      </c>
      <c r="C76" s="2972"/>
      <c r="D76" s="1412"/>
      <c r="E76" s="1413"/>
      <c r="F76" s="1413"/>
      <c r="G76" s="1410"/>
    </row>
    <row r="77" spans="1:7" ht="12.75">
      <c r="A77" s="1426">
        <v>162</v>
      </c>
      <c r="B77" s="2972" t="s">
        <v>972</v>
      </c>
      <c r="C77" s="2972"/>
      <c r="D77" s="1412">
        <v>8</v>
      </c>
      <c r="E77" s="1413">
        <v>8856</v>
      </c>
      <c r="F77" s="1413"/>
      <c r="G77" s="1410"/>
    </row>
    <row r="78" spans="1:7" ht="12.75">
      <c r="A78" s="1426">
        <v>172</v>
      </c>
      <c r="B78" s="2972" t="s">
        <v>973</v>
      </c>
      <c r="C78" s="2972"/>
      <c r="D78" s="1412">
        <v>53</v>
      </c>
      <c r="E78" s="1413">
        <v>50095</v>
      </c>
      <c r="F78" s="1413"/>
      <c r="G78" s="1410"/>
    </row>
    <row r="79" spans="1:7" ht="12.75">
      <c r="A79" s="1411" t="s">
        <v>974</v>
      </c>
      <c r="B79" s="2972" t="s">
        <v>975</v>
      </c>
      <c r="C79" s="2972"/>
      <c r="D79" s="1412">
        <v>1179</v>
      </c>
      <c r="E79" s="1413">
        <v>1247140</v>
      </c>
      <c r="F79" s="1413">
        <v>1519106</v>
      </c>
      <c r="G79" s="1410"/>
    </row>
    <row r="80" spans="1:7" ht="12.75">
      <c r="A80" s="2970" t="s">
        <v>145</v>
      </c>
      <c r="B80" s="2970"/>
      <c r="C80" s="2970"/>
      <c r="D80" s="1422"/>
      <c r="E80" s="1422"/>
      <c r="F80" s="1422"/>
      <c r="G80" s="1410"/>
    </row>
    <row r="81" spans="1:7" ht="12.75">
      <c r="A81" s="2970"/>
      <c r="B81" s="2970"/>
      <c r="C81" s="2970"/>
      <c r="D81" s="1425">
        <f>SUM(D15:D79)</f>
        <v>29784</v>
      </c>
      <c r="E81" s="1425">
        <f>SUM(E15,E16,E17,E18,E19,E21,E24,E33,E34,E35,E37,E49,E50,E53,E54,E58,E60,E61,E62,E66,E67,E77,E78,E79)</f>
        <v>29402847</v>
      </c>
      <c r="F81" s="1425">
        <f>SUM(F15:F79)</f>
        <v>8733136</v>
      </c>
      <c r="G81" s="1410"/>
    </row>
    <row r="82" spans="4:7" ht="12.75">
      <c r="D82" s="1410"/>
      <c r="E82" s="1410"/>
      <c r="F82" s="1410"/>
      <c r="G82" s="1410"/>
    </row>
    <row r="83" spans="1:7" ht="12.75">
      <c r="A83" s="9" t="s">
        <v>976</v>
      </c>
      <c r="B83" s="9"/>
      <c r="D83" s="1410"/>
      <c r="E83" s="1410"/>
      <c r="F83" s="1410"/>
      <c r="G83" s="1410"/>
    </row>
    <row r="84" spans="1:7" ht="12.75">
      <c r="A84" s="9"/>
      <c r="B84" s="9"/>
      <c r="D84" s="1410"/>
      <c r="E84" s="1410"/>
      <c r="F84" s="1410"/>
      <c r="G84" s="1410"/>
    </row>
    <row r="85" spans="5:6" ht="12.75">
      <c r="E85" s="2971" t="s">
        <v>1302</v>
      </c>
      <c r="F85" s="2971"/>
    </row>
    <row r="86" spans="5:6" ht="12.75">
      <c r="E86" s="2971" t="s">
        <v>977</v>
      </c>
      <c r="F86" s="2971"/>
    </row>
  </sheetData>
  <sheetProtection/>
  <mergeCells count="80">
    <mergeCell ref="A2:F2"/>
    <mergeCell ref="A4:F4"/>
    <mergeCell ref="B7:E7"/>
    <mergeCell ref="B10:C10"/>
    <mergeCell ref="D10:D11"/>
    <mergeCell ref="E10:E11"/>
    <mergeCell ref="F10:F11"/>
    <mergeCell ref="B22:C22"/>
    <mergeCell ref="B23:C23"/>
    <mergeCell ref="G10:G11"/>
    <mergeCell ref="B11:C11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35:C35"/>
    <mergeCell ref="B24:C24"/>
    <mergeCell ref="B25:C25"/>
    <mergeCell ref="B26:C26"/>
    <mergeCell ref="B27:C27"/>
    <mergeCell ref="B28:C28"/>
    <mergeCell ref="B29:C29"/>
    <mergeCell ref="A47:A48"/>
    <mergeCell ref="B47:C47"/>
    <mergeCell ref="B48:C48"/>
    <mergeCell ref="D43:D44"/>
    <mergeCell ref="B30:C30"/>
    <mergeCell ref="B31:C31"/>
    <mergeCell ref="B32:C32"/>
    <mergeCell ref="B33:C33"/>
    <mergeCell ref="B36:C36"/>
    <mergeCell ref="B37:C37"/>
    <mergeCell ref="B53:C53"/>
    <mergeCell ref="B38:C38"/>
    <mergeCell ref="B43:C43"/>
    <mergeCell ref="B49:C49"/>
    <mergeCell ref="B51:C51"/>
    <mergeCell ref="B58:C58"/>
    <mergeCell ref="B55:C55"/>
    <mergeCell ref="B56:C56"/>
    <mergeCell ref="F43:F44"/>
    <mergeCell ref="B44:C44"/>
    <mergeCell ref="E43:E44"/>
    <mergeCell ref="B50:C50"/>
    <mergeCell ref="A52:A53"/>
    <mergeCell ref="B52:C52"/>
    <mergeCell ref="B62:C62"/>
    <mergeCell ref="B63:C63"/>
    <mergeCell ref="B59:C59"/>
    <mergeCell ref="B60:C60"/>
    <mergeCell ref="B61:C61"/>
    <mergeCell ref="B54:C54"/>
    <mergeCell ref="A57:A58"/>
    <mergeCell ref="B57:C57"/>
    <mergeCell ref="B64:C64"/>
    <mergeCell ref="B65:C65"/>
    <mergeCell ref="A72:A73"/>
    <mergeCell ref="B72:C72"/>
    <mergeCell ref="B73:C73"/>
    <mergeCell ref="B69:C69"/>
    <mergeCell ref="B70:C70"/>
    <mergeCell ref="B71:C71"/>
    <mergeCell ref="B68:C68"/>
    <mergeCell ref="A74:A75"/>
    <mergeCell ref="B74:C74"/>
    <mergeCell ref="B75:C75"/>
    <mergeCell ref="B66:C66"/>
    <mergeCell ref="A69:A71"/>
    <mergeCell ref="A80:C81"/>
    <mergeCell ref="E85:F85"/>
    <mergeCell ref="E86:F86"/>
    <mergeCell ref="B76:C76"/>
    <mergeCell ref="B77:C77"/>
    <mergeCell ref="B78:C78"/>
    <mergeCell ref="B79:C79"/>
  </mergeCells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10">
      <selection activeCell="C33" sqref="C33"/>
    </sheetView>
  </sheetViews>
  <sheetFormatPr defaultColWidth="9.140625" defaultRowHeight="12.75"/>
  <cols>
    <col min="1" max="1" width="41.140625" style="0" customWidth="1"/>
    <col min="2" max="17" width="7.7109375" style="0" customWidth="1"/>
  </cols>
  <sheetData>
    <row r="1" spans="1:17" ht="12.75">
      <c r="A1" s="2348" t="s">
        <v>718</v>
      </c>
      <c r="B1" s="2348"/>
      <c r="C1" s="2348"/>
      <c r="D1" s="2348"/>
      <c r="E1" s="2348"/>
      <c r="F1" s="2348"/>
      <c r="G1" s="2348"/>
      <c r="H1" s="2348"/>
      <c r="I1" s="2348"/>
      <c r="J1" s="2348"/>
      <c r="K1" s="2348"/>
      <c r="L1" s="2348"/>
      <c r="M1" s="2348"/>
      <c r="N1" s="2348"/>
      <c r="O1" s="2348"/>
      <c r="P1" s="2348"/>
      <c r="Q1" s="2348"/>
    </row>
    <row r="4" spans="1:17" ht="12.75">
      <c r="A4" s="2419" t="s">
        <v>1345</v>
      </c>
      <c r="B4" s="2419"/>
      <c r="C4" s="2419"/>
      <c r="D4" s="2419"/>
      <c r="E4" s="2419"/>
      <c r="F4" s="2419"/>
      <c r="G4" s="2419"/>
      <c r="H4" s="2419"/>
      <c r="I4" s="2419"/>
      <c r="J4" s="2419"/>
      <c r="K4" s="2419"/>
      <c r="L4" s="2419"/>
      <c r="M4" s="2419"/>
      <c r="N4" s="2419"/>
      <c r="O4" s="2419"/>
      <c r="P4" s="2419"/>
      <c r="Q4" s="2419"/>
    </row>
    <row r="5" ht="12.75">
      <c r="A5" s="19"/>
    </row>
    <row r="6" spans="1:17" ht="33.75" customHeight="1">
      <c r="A6" s="2421" t="s">
        <v>2119</v>
      </c>
      <c r="B6" s="2421"/>
      <c r="C6" s="2421"/>
      <c r="D6" s="2421"/>
      <c r="E6" s="2421"/>
      <c r="F6" s="2421"/>
      <c r="G6" s="2421"/>
      <c r="H6" s="2421"/>
      <c r="I6" s="2421"/>
      <c r="J6" s="2421"/>
      <c r="K6" s="2421"/>
      <c r="L6" s="2421"/>
      <c r="M6" s="2421"/>
      <c r="N6" s="2421"/>
      <c r="O6" s="2421"/>
      <c r="P6" s="2421"/>
      <c r="Q6" s="2421"/>
    </row>
    <row r="7" ht="33.75" customHeight="1">
      <c r="A7" s="45"/>
    </row>
    <row r="8" spans="1:17" ht="13.5" thickBot="1">
      <c r="A8" s="2991" t="s">
        <v>1371</v>
      </c>
      <c r="B8" s="2991"/>
      <c r="C8" s="2991"/>
      <c r="D8" s="2991"/>
      <c r="E8" s="2991"/>
      <c r="F8" s="2991"/>
      <c r="G8" s="2991"/>
      <c r="H8" s="2991"/>
      <c r="I8" s="2991"/>
      <c r="J8" s="2991"/>
      <c r="K8" s="2991"/>
      <c r="L8" s="2991"/>
      <c r="M8" s="2991"/>
      <c r="N8" s="2991"/>
      <c r="O8" s="2991"/>
      <c r="P8" s="2991"/>
      <c r="Q8" s="2991"/>
    </row>
    <row r="9" spans="1:17" s="12" customFormat="1" ht="27" customHeight="1" thickBot="1">
      <c r="A9" s="902" t="s">
        <v>576</v>
      </c>
      <c r="B9" s="892" t="s">
        <v>1751</v>
      </c>
      <c r="C9" s="892" t="s">
        <v>1437</v>
      </c>
      <c r="D9" s="892" t="s">
        <v>1752</v>
      </c>
      <c r="E9" s="892" t="s">
        <v>1753</v>
      </c>
      <c r="F9" s="892" t="s">
        <v>1754</v>
      </c>
      <c r="G9" s="892" t="s">
        <v>113</v>
      </c>
      <c r="H9" s="892" t="s">
        <v>1021</v>
      </c>
      <c r="I9" s="892" t="s">
        <v>1022</v>
      </c>
      <c r="J9" s="892" t="s">
        <v>1023</v>
      </c>
      <c r="K9" s="892" t="s">
        <v>1024</v>
      </c>
      <c r="L9" s="892" t="s">
        <v>1440</v>
      </c>
      <c r="M9" s="892" t="s">
        <v>1436</v>
      </c>
      <c r="N9" s="892" t="s">
        <v>1954</v>
      </c>
      <c r="O9" s="892" t="s">
        <v>1955</v>
      </c>
      <c r="P9" s="893" t="s">
        <v>1956</v>
      </c>
      <c r="Q9" s="870" t="s">
        <v>112</v>
      </c>
    </row>
    <row r="10" spans="1:17" s="12" customFormat="1" ht="27" customHeight="1" thickBot="1">
      <c r="A10" s="907" t="s">
        <v>486</v>
      </c>
      <c r="B10" s="1022">
        <f aca="true" t="shared" si="0" ref="B10:P10">SUM(B11:B11)</f>
        <v>9253</v>
      </c>
      <c r="C10" s="765">
        <f t="shared" si="0"/>
        <v>22675</v>
      </c>
      <c r="D10" s="765">
        <f t="shared" si="0"/>
        <v>23582</v>
      </c>
      <c r="E10" s="765">
        <f t="shared" si="0"/>
        <v>24525.280000000002</v>
      </c>
      <c r="F10" s="765">
        <f t="shared" si="0"/>
        <v>25506.291200000003</v>
      </c>
      <c r="G10" s="765">
        <f t="shared" si="0"/>
        <v>26526.542848000005</v>
      </c>
      <c r="H10" s="765">
        <f t="shared" si="0"/>
        <v>27587.604561920005</v>
      </c>
      <c r="I10" s="765">
        <f t="shared" si="0"/>
        <v>0</v>
      </c>
      <c r="J10" s="765">
        <f t="shared" si="0"/>
        <v>0</v>
      </c>
      <c r="K10" s="765">
        <f t="shared" si="0"/>
        <v>0</v>
      </c>
      <c r="L10" s="765">
        <f t="shared" si="0"/>
        <v>0</v>
      </c>
      <c r="M10" s="765">
        <f t="shared" si="0"/>
        <v>0</v>
      </c>
      <c r="N10" s="765">
        <f t="shared" si="0"/>
        <v>0</v>
      </c>
      <c r="O10" s="765">
        <f t="shared" si="0"/>
        <v>0</v>
      </c>
      <c r="P10" s="765">
        <f t="shared" si="0"/>
        <v>0</v>
      </c>
      <c r="Q10" s="906"/>
    </row>
    <row r="11" spans="1:17" s="12" customFormat="1" ht="15" customHeight="1" thickBot="1">
      <c r="A11" s="901" t="s">
        <v>577</v>
      </c>
      <c r="B11" s="1443">
        <f>2am!L34</f>
        <v>9253</v>
      </c>
      <c r="C11" s="894">
        <v>22675</v>
      </c>
      <c r="D11" s="894">
        <f>C11*1.04</f>
        <v>23582</v>
      </c>
      <c r="E11" s="894">
        <f>D11*1.04</f>
        <v>24525.280000000002</v>
      </c>
      <c r="F11" s="894">
        <f>E11*1.04</f>
        <v>25506.291200000003</v>
      </c>
      <c r="G11" s="894">
        <f>F11*1.04</f>
        <v>26526.542848000005</v>
      </c>
      <c r="H11" s="894">
        <f>G11*1.04</f>
        <v>27587.604561920005</v>
      </c>
      <c r="I11" s="894"/>
      <c r="J11" s="894"/>
      <c r="K11" s="894"/>
      <c r="L11" s="894"/>
      <c r="M11" s="894"/>
      <c r="N11" s="894"/>
      <c r="O11" s="903"/>
      <c r="P11" s="903"/>
      <c r="Q11" s="905"/>
    </row>
    <row r="12" spans="1:17" s="12" customFormat="1" ht="27" customHeight="1" thickBot="1">
      <c r="A12" s="907" t="s">
        <v>1168</v>
      </c>
      <c r="B12" s="1022">
        <f aca="true" t="shared" si="1" ref="B12:Q12">SUM(B13:B14)</f>
        <v>142383</v>
      </c>
      <c r="C12" s="765">
        <f t="shared" si="1"/>
        <v>15111</v>
      </c>
      <c r="D12" s="765">
        <f t="shared" si="1"/>
        <v>0</v>
      </c>
      <c r="E12" s="765">
        <f t="shared" si="1"/>
        <v>0</v>
      </c>
      <c r="F12" s="765">
        <f t="shared" si="1"/>
        <v>0</v>
      </c>
      <c r="G12" s="765">
        <f t="shared" si="1"/>
        <v>0</v>
      </c>
      <c r="H12" s="765">
        <f t="shared" si="1"/>
        <v>0</v>
      </c>
      <c r="I12" s="765">
        <f t="shared" si="1"/>
        <v>0</v>
      </c>
      <c r="J12" s="765">
        <f t="shared" si="1"/>
        <v>0</v>
      </c>
      <c r="K12" s="765">
        <f t="shared" si="1"/>
        <v>0</v>
      </c>
      <c r="L12" s="765">
        <f t="shared" si="1"/>
        <v>0</v>
      </c>
      <c r="M12" s="765">
        <f t="shared" si="1"/>
        <v>0</v>
      </c>
      <c r="N12" s="765">
        <f t="shared" si="1"/>
        <v>0</v>
      </c>
      <c r="O12" s="765">
        <f t="shared" si="1"/>
        <v>0</v>
      </c>
      <c r="P12" s="765">
        <f t="shared" si="1"/>
        <v>0</v>
      </c>
      <c r="Q12" s="765">
        <f t="shared" si="1"/>
        <v>0</v>
      </c>
    </row>
    <row r="13" spans="1:17" s="12" customFormat="1" ht="15" customHeight="1">
      <c r="A13" s="901" t="s">
        <v>1316</v>
      </c>
      <c r="B13" s="2251">
        <f>2am!L33</f>
        <v>14286</v>
      </c>
      <c r="C13" s="1443">
        <v>15111</v>
      </c>
      <c r="D13" s="894">
        <v>0</v>
      </c>
      <c r="E13" s="894"/>
      <c r="F13" s="894"/>
      <c r="G13" s="894"/>
      <c r="H13" s="894"/>
      <c r="I13" s="894"/>
      <c r="J13" s="894"/>
      <c r="K13" s="894"/>
      <c r="L13" s="894"/>
      <c r="M13" s="894"/>
      <c r="N13" s="894"/>
      <c r="O13" s="903"/>
      <c r="P13" s="903"/>
      <c r="Q13" s="905"/>
    </row>
    <row r="14" spans="1:17" s="12" customFormat="1" ht="15" customHeight="1" thickBot="1">
      <c r="A14" s="900" t="s">
        <v>578</v>
      </c>
      <c r="B14" s="2283">
        <f>2am!L35</f>
        <v>128097</v>
      </c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891"/>
      <c r="P14" s="891"/>
      <c r="Q14" s="897"/>
    </row>
    <row r="15" spans="1:17" s="12" customFormat="1" ht="27" customHeight="1" thickBot="1">
      <c r="A15" s="907" t="s">
        <v>1957</v>
      </c>
      <c r="B15" s="765">
        <f aca="true" t="shared" si="2" ref="B15:Q15">SUM(B16:B27)</f>
        <v>90609</v>
      </c>
      <c r="C15" s="765">
        <f t="shared" si="2"/>
        <v>34768</v>
      </c>
      <c r="D15" s="765">
        <f t="shared" si="2"/>
        <v>31177</v>
      </c>
      <c r="E15" s="765">
        <f t="shared" si="2"/>
        <v>18408</v>
      </c>
      <c r="F15" s="765">
        <f t="shared" si="2"/>
        <v>13420</v>
      </c>
      <c r="G15" s="765">
        <f t="shared" si="2"/>
        <v>11157</v>
      </c>
      <c r="H15" s="765">
        <f t="shared" si="2"/>
        <v>9987</v>
      </c>
      <c r="I15" s="765">
        <f t="shared" si="2"/>
        <v>9988</v>
      </c>
      <c r="J15" s="765">
        <f t="shared" si="2"/>
        <v>9987</v>
      </c>
      <c r="K15" s="765">
        <f t="shared" si="2"/>
        <v>9987</v>
      </c>
      <c r="L15" s="765">
        <f t="shared" si="2"/>
        <v>8903</v>
      </c>
      <c r="M15" s="765">
        <f t="shared" si="2"/>
        <v>2491</v>
      </c>
      <c r="N15" s="765">
        <f t="shared" si="2"/>
        <v>2491</v>
      </c>
      <c r="O15" s="765">
        <f t="shared" si="2"/>
        <v>2492</v>
      </c>
      <c r="P15" s="765">
        <f t="shared" si="2"/>
        <v>2491</v>
      </c>
      <c r="Q15" s="765">
        <f t="shared" si="2"/>
        <v>1929</v>
      </c>
    </row>
    <row r="16" spans="1:17" s="12" customFormat="1" ht="15" customHeight="1">
      <c r="A16" s="912" t="s">
        <v>1136</v>
      </c>
      <c r="B16" s="894">
        <v>1040</v>
      </c>
      <c r="C16" s="894">
        <v>1040</v>
      </c>
      <c r="D16" s="894">
        <v>1040</v>
      </c>
      <c r="E16" s="894">
        <v>1040</v>
      </c>
      <c r="F16" s="894">
        <v>1040</v>
      </c>
      <c r="G16" s="894">
        <v>1040</v>
      </c>
      <c r="H16" s="894">
        <v>1040</v>
      </c>
      <c r="I16" s="894">
        <v>1040</v>
      </c>
      <c r="J16" s="894">
        <v>1040</v>
      </c>
      <c r="K16" s="894">
        <v>1040</v>
      </c>
      <c r="L16" s="894">
        <v>1031</v>
      </c>
      <c r="M16" s="894"/>
      <c r="N16" s="894"/>
      <c r="O16" s="903"/>
      <c r="P16" s="904"/>
      <c r="Q16" s="905"/>
    </row>
    <row r="17" spans="1:17" s="12" customFormat="1" ht="15" customHeight="1">
      <c r="A17" s="913" t="s">
        <v>1137</v>
      </c>
      <c r="B17" s="894">
        <v>807</v>
      </c>
      <c r="C17" s="894">
        <v>807</v>
      </c>
      <c r="D17" s="894"/>
      <c r="E17" s="894"/>
      <c r="F17" s="894"/>
      <c r="G17" s="894"/>
      <c r="H17" s="894"/>
      <c r="I17" s="894"/>
      <c r="J17" s="894"/>
      <c r="K17" s="894"/>
      <c r="L17" s="894"/>
      <c r="M17" s="894"/>
      <c r="N17" s="894"/>
      <c r="O17" s="366"/>
      <c r="P17" s="895"/>
      <c r="Q17" s="896"/>
    </row>
    <row r="18" spans="1:17" s="12" customFormat="1" ht="15" customHeight="1">
      <c r="A18" s="913" t="s">
        <v>1438</v>
      </c>
      <c r="B18" s="894">
        <v>156</v>
      </c>
      <c r="C18" s="894"/>
      <c r="D18" s="894"/>
      <c r="E18" s="894"/>
      <c r="F18" s="894"/>
      <c r="G18" s="894"/>
      <c r="H18" s="894"/>
      <c r="I18" s="894"/>
      <c r="J18" s="894"/>
      <c r="K18" s="894"/>
      <c r="L18" s="894"/>
      <c r="M18" s="894"/>
      <c r="N18" s="894"/>
      <c r="O18" s="366"/>
      <c r="P18" s="895"/>
      <c r="Q18" s="896"/>
    </row>
    <row r="19" spans="1:17" s="12" customFormat="1" ht="25.5">
      <c r="A19" s="913" t="s">
        <v>1750</v>
      </c>
      <c r="B19" s="894">
        <v>1496</v>
      </c>
      <c r="C19" s="894">
        <v>1366</v>
      </c>
      <c r="D19" s="894"/>
      <c r="E19" s="894"/>
      <c r="F19" s="894"/>
      <c r="G19" s="894"/>
      <c r="H19" s="894"/>
      <c r="I19" s="894"/>
      <c r="J19" s="894"/>
      <c r="K19" s="894"/>
      <c r="L19" s="894"/>
      <c r="M19" s="894"/>
      <c r="N19" s="894"/>
      <c r="O19" s="366"/>
      <c r="P19" s="895"/>
      <c r="Q19" s="896"/>
    </row>
    <row r="20" spans="1:17" s="12" customFormat="1" ht="15" customHeight="1">
      <c r="A20" s="913" t="s">
        <v>1439</v>
      </c>
      <c r="B20" s="894">
        <v>6456</v>
      </c>
      <c r="C20" s="758">
        <v>6456</v>
      </c>
      <c r="D20" s="894">
        <v>6456</v>
      </c>
      <c r="E20" s="758">
        <v>6456</v>
      </c>
      <c r="F20" s="894">
        <v>6456</v>
      </c>
      <c r="G20" s="758">
        <v>6456</v>
      </c>
      <c r="H20" s="894">
        <v>6456</v>
      </c>
      <c r="I20" s="758">
        <v>6456</v>
      </c>
      <c r="J20" s="894">
        <v>6456</v>
      </c>
      <c r="K20" s="758">
        <v>6456</v>
      </c>
      <c r="L20" s="894">
        <v>5380</v>
      </c>
      <c r="M20" s="894"/>
      <c r="N20" s="894"/>
      <c r="O20" s="366"/>
      <c r="P20" s="895"/>
      <c r="Q20" s="896"/>
    </row>
    <row r="21" spans="1:17" s="12" customFormat="1" ht="25.5">
      <c r="A21" s="913" t="s">
        <v>1441</v>
      </c>
      <c r="B21" s="758">
        <v>2107</v>
      </c>
      <c r="C21" s="758">
        <v>2108</v>
      </c>
      <c r="D21" s="758">
        <v>2107</v>
      </c>
      <c r="E21" s="758">
        <v>2107</v>
      </c>
      <c r="F21" s="758">
        <v>2108</v>
      </c>
      <c r="G21" s="758">
        <v>2107</v>
      </c>
      <c r="H21" s="758">
        <v>2107</v>
      </c>
      <c r="I21" s="758">
        <v>2108</v>
      </c>
      <c r="J21" s="758">
        <v>2107</v>
      </c>
      <c r="K21" s="758">
        <v>2107</v>
      </c>
      <c r="L21" s="758">
        <v>2108</v>
      </c>
      <c r="M21" s="758">
        <v>2107</v>
      </c>
      <c r="N21" s="758">
        <v>2107</v>
      </c>
      <c r="O21" s="758">
        <v>2108</v>
      </c>
      <c r="P21" s="758">
        <v>2107</v>
      </c>
      <c r="Q21" s="897">
        <v>1756</v>
      </c>
    </row>
    <row r="22" spans="1:17" s="12" customFormat="1" ht="51">
      <c r="A22" s="913" t="s">
        <v>472</v>
      </c>
      <c r="B22" s="758">
        <v>384</v>
      </c>
      <c r="C22" s="758">
        <v>384</v>
      </c>
      <c r="D22" s="758">
        <v>384</v>
      </c>
      <c r="E22" s="758">
        <v>384</v>
      </c>
      <c r="F22" s="758">
        <v>384</v>
      </c>
      <c r="G22" s="758">
        <v>384</v>
      </c>
      <c r="H22" s="758">
        <v>384</v>
      </c>
      <c r="I22" s="758">
        <v>384</v>
      </c>
      <c r="J22" s="758">
        <v>384</v>
      </c>
      <c r="K22" s="758">
        <v>384</v>
      </c>
      <c r="L22" s="758">
        <v>384</v>
      </c>
      <c r="M22" s="758">
        <v>384</v>
      </c>
      <c r="N22" s="758">
        <v>384</v>
      </c>
      <c r="O22" s="758">
        <v>384</v>
      </c>
      <c r="P22" s="758">
        <v>384</v>
      </c>
      <c r="Q22" s="897">
        <v>173</v>
      </c>
    </row>
    <row r="23" spans="1:17" s="12" customFormat="1" ht="15" customHeight="1">
      <c r="A23" s="913" t="s">
        <v>473</v>
      </c>
      <c r="B23" s="758">
        <v>336</v>
      </c>
      <c r="C23" s="758">
        <v>336</v>
      </c>
      <c r="D23" s="758">
        <v>336</v>
      </c>
      <c r="E23" s="758">
        <v>336</v>
      </c>
      <c r="F23" s="758">
        <v>336</v>
      </c>
      <c r="G23" s="758">
        <v>336</v>
      </c>
      <c r="H23" s="758"/>
      <c r="I23" s="758"/>
      <c r="J23" s="758"/>
      <c r="K23" s="758"/>
      <c r="L23" s="758"/>
      <c r="M23" s="758"/>
      <c r="N23" s="758"/>
      <c r="O23" s="891"/>
      <c r="P23" s="898"/>
      <c r="Q23" s="897"/>
    </row>
    <row r="24" spans="1:17" s="12" customFormat="1" ht="15" customHeight="1">
      <c r="A24" s="913" t="s">
        <v>474</v>
      </c>
      <c r="B24" s="758">
        <v>3004</v>
      </c>
      <c r="C24" s="758">
        <v>3004</v>
      </c>
      <c r="D24" s="758">
        <v>3004</v>
      </c>
      <c r="E24" s="758">
        <v>3004</v>
      </c>
      <c r="F24" s="758">
        <v>2250</v>
      </c>
      <c r="G24" s="758"/>
      <c r="H24" s="758"/>
      <c r="I24" s="758"/>
      <c r="J24" s="758"/>
      <c r="K24" s="758"/>
      <c r="L24" s="758"/>
      <c r="M24" s="758"/>
      <c r="N24" s="758"/>
      <c r="O24" s="891"/>
      <c r="P24" s="898"/>
      <c r="Q24" s="897"/>
    </row>
    <row r="25" spans="1:17" s="12" customFormat="1" ht="25.5">
      <c r="A25" s="913" t="s">
        <v>475</v>
      </c>
      <c r="B25" s="758">
        <v>846</v>
      </c>
      <c r="C25" s="758">
        <v>846</v>
      </c>
      <c r="D25" s="758">
        <v>846</v>
      </c>
      <c r="E25" s="758">
        <v>846</v>
      </c>
      <c r="F25" s="758">
        <v>846</v>
      </c>
      <c r="G25" s="758">
        <v>834</v>
      </c>
      <c r="H25" s="758"/>
      <c r="I25" s="758"/>
      <c r="J25" s="758"/>
      <c r="K25" s="758"/>
      <c r="L25" s="758"/>
      <c r="M25" s="758"/>
      <c r="N25" s="758"/>
      <c r="O25" s="891"/>
      <c r="P25" s="898"/>
      <c r="Q25" s="897"/>
    </row>
    <row r="26" spans="1:17" s="12" customFormat="1" ht="15" customHeight="1">
      <c r="A26" s="913" t="s">
        <v>476</v>
      </c>
      <c r="B26" s="758">
        <v>15587</v>
      </c>
      <c r="C26" s="758">
        <v>18421</v>
      </c>
      <c r="D26" s="758">
        <v>17004</v>
      </c>
      <c r="E26" s="758">
        <v>4235</v>
      </c>
      <c r="F26" s="758"/>
      <c r="G26" s="758"/>
      <c r="H26" s="758"/>
      <c r="I26" s="758"/>
      <c r="J26" s="758"/>
      <c r="K26" s="758"/>
      <c r="L26" s="758"/>
      <c r="M26" s="758"/>
      <c r="N26" s="758"/>
      <c r="O26" s="891"/>
      <c r="P26" s="898"/>
      <c r="Q26" s="897"/>
    </row>
    <row r="27" spans="1:17" s="12" customFormat="1" ht="26.25" customHeight="1" thickBot="1">
      <c r="A27" s="1437" t="s">
        <v>796</v>
      </c>
      <c r="B27" s="1438">
        <f>4bm!J72</f>
        <v>58390</v>
      </c>
      <c r="C27" s="1438"/>
      <c r="D27" s="1438"/>
      <c r="E27" s="1438"/>
      <c r="F27" s="1438"/>
      <c r="G27" s="1438"/>
      <c r="H27" s="1438"/>
      <c r="I27" s="1438"/>
      <c r="J27" s="1438"/>
      <c r="K27" s="1438"/>
      <c r="L27" s="1438"/>
      <c r="M27" s="1438"/>
      <c r="N27" s="1438"/>
      <c r="O27" s="767"/>
      <c r="P27" s="1439"/>
      <c r="Q27" s="1439"/>
    </row>
    <row r="28" spans="1:17" s="12" customFormat="1" ht="27" customHeight="1" thickBot="1">
      <c r="A28" s="815" t="s">
        <v>145</v>
      </c>
      <c r="B28" s="899">
        <f aca="true" t="shared" si="3" ref="B28:Q28">+B10+B12+B15</f>
        <v>242245</v>
      </c>
      <c r="C28" s="899">
        <f t="shared" si="3"/>
        <v>72554</v>
      </c>
      <c r="D28" s="899">
        <f t="shared" si="3"/>
        <v>54759</v>
      </c>
      <c r="E28" s="899">
        <f t="shared" si="3"/>
        <v>42933.28</v>
      </c>
      <c r="F28" s="899">
        <f t="shared" si="3"/>
        <v>38926.29120000001</v>
      </c>
      <c r="G28" s="899">
        <f t="shared" si="3"/>
        <v>37683.542848000005</v>
      </c>
      <c r="H28" s="899">
        <f t="shared" si="3"/>
        <v>37574.60456192</v>
      </c>
      <c r="I28" s="899">
        <f t="shared" si="3"/>
        <v>9988</v>
      </c>
      <c r="J28" s="899">
        <f t="shared" si="3"/>
        <v>9987</v>
      </c>
      <c r="K28" s="899">
        <f t="shared" si="3"/>
        <v>9987</v>
      </c>
      <c r="L28" s="899">
        <f t="shared" si="3"/>
        <v>8903</v>
      </c>
      <c r="M28" s="899">
        <f t="shared" si="3"/>
        <v>2491</v>
      </c>
      <c r="N28" s="899">
        <f t="shared" si="3"/>
        <v>2491</v>
      </c>
      <c r="O28" s="899">
        <f t="shared" si="3"/>
        <v>2492</v>
      </c>
      <c r="P28" s="899">
        <f t="shared" si="3"/>
        <v>2491</v>
      </c>
      <c r="Q28" s="899">
        <f t="shared" si="3"/>
        <v>1929</v>
      </c>
    </row>
    <row r="34" ht="12.75">
      <c r="H34" s="22"/>
    </row>
  </sheetData>
  <sheetProtection/>
  <mergeCells count="4">
    <mergeCell ref="A6:Q6"/>
    <mergeCell ref="A4:Q4"/>
    <mergeCell ref="A1:Q1"/>
    <mergeCell ref="A8:Q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D7F5F7"/>
  </sheetPr>
  <dimension ref="A1:K20"/>
  <sheetViews>
    <sheetView view="pageBreakPreview" zoomScaleSheetLayoutView="100" zoomScalePageLayoutView="0" workbookViewId="0" topLeftCell="A13">
      <selection activeCell="C16" sqref="C16"/>
    </sheetView>
  </sheetViews>
  <sheetFormatPr defaultColWidth="9.140625" defaultRowHeight="27" customHeight="1"/>
  <cols>
    <col min="1" max="1" width="55.28125" style="98" customWidth="1"/>
    <col min="2" max="2" width="13.8515625" style="98" customWidth="1"/>
    <col min="3" max="4" width="16.7109375" style="98" customWidth="1"/>
    <col min="5" max="5" width="16.8515625" style="98" customWidth="1"/>
    <col min="6" max="6" width="9.140625" style="98" customWidth="1"/>
    <col min="7" max="7" width="19.28125" style="98" customWidth="1"/>
    <col min="8" max="8" width="19.57421875" style="98" customWidth="1"/>
    <col min="9" max="9" width="16.28125" style="98" customWidth="1"/>
    <col min="10" max="10" width="17.28125" style="98" customWidth="1"/>
    <col min="11" max="11" width="18.00390625" style="98" customWidth="1"/>
    <col min="12" max="16384" width="9.140625" style="98" customWidth="1"/>
  </cols>
  <sheetData>
    <row r="1" spans="4:5" ht="27" customHeight="1">
      <c r="D1" s="2329" t="s">
        <v>701</v>
      </c>
      <c r="E1" s="2329"/>
    </row>
    <row r="2" spans="4:5" ht="27" customHeight="1">
      <c r="D2" s="287"/>
      <c r="E2" s="287"/>
    </row>
    <row r="3" spans="1:5" ht="27" customHeight="1">
      <c r="A3" s="2455" t="s">
        <v>1345</v>
      </c>
      <c r="B3" s="2994"/>
      <c r="C3" s="2994"/>
      <c r="D3" s="2994"/>
      <c r="E3" s="2994"/>
    </row>
    <row r="4" spans="1:5" ht="27" customHeight="1">
      <c r="A4" s="102"/>
      <c r="B4" s="102"/>
      <c r="C4" s="102"/>
      <c r="D4" s="102"/>
      <c r="E4" s="102"/>
    </row>
    <row r="5" spans="1:5" ht="27" customHeight="1">
      <c r="A5" s="2421" t="s">
        <v>1257</v>
      </c>
      <c r="B5" s="2993"/>
      <c r="C5" s="2993"/>
      <c r="D5" s="2993"/>
      <c r="E5" s="2993"/>
    </row>
    <row r="6" spans="1:5" ht="27" customHeight="1">
      <c r="A6" s="2993"/>
      <c r="B6" s="2993"/>
      <c r="C6" s="2993"/>
      <c r="D6" s="2993"/>
      <c r="E6" s="2993"/>
    </row>
    <row r="7" spans="1:11" ht="27" customHeight="1">
      <c r="A7" s="288"/>
      <c r="B7" s="288"/>
      <c r="C7" s="288"/>
      <c r="D7" s="288"/>
      <c r="E7" s="288"/>
      <c r="K7" s="334" t="s">
        <v>1532</v>
      </c>
    </row>
    <row r="8" spans="4:11" ht="42.75" customHeight="1">
      <c r="D8" s="2560" t="s">
        <v>579</v>
      </c>
      <c r="E8" s="2560"/>
      <c r="G8" s="373"/>
      <c r="H8" s="259"/>
      <c r="I8" s="259"/>
      <c r="J8" s="259"/>
      <c r="K8" s="259"/>
    </row>
    <row r="9" spans="1:11" ht="54" customHeight="1">
      <c r="A9" s="298" t="s">
        <v>1432</v>
      </c>
      <c r="B9" s="299" t="s">
        <v>580</v>
      </c>
      <c r="C9" s="299" t="s">
        <v>2148</v>
      </c>
      <c r="D9" s="299" t="s">
        <v>581</v>
      </c>
      <c r="E9" s="258" t="s">
        <v>582</v>
      </c>
      <c r="G9" s="373"/>
      <c r="H9" s="259"/>
      <c r="I9" s="259"/>
      <c r="J9" s="259"/>
      <c r="K9" s="259"/>
    </row>
    <row r="10" spans="1:11" ht="27" customHeight="1">
      <c r="A10" s="487" t="s">
        <v>1197</v>
      </c>
      <c r="B10" s="675">
        <f>E10-D10</f>
        <v>828</v>
      </c>
      <c r="C10" s="675">
        <v>0</v>
      </c>
      <c r="D10" s="675">
        <f>4am!D49</f>
        <v>1437</v>
      </c>
      <c r="E10" s="675">
        <f>4bm!J32</f>
        <v>2265</v>
      </c>
      <c r="G10" s="373"/>
      <c r="H10" s="259"/>
      <c r="I10" s="259"/>
      <c r="J10" s="259"/>
      <c r="K10" s="259"/>
    </row>
    <row r="11" spans="1:11" ht="27" customHeight="1">
      <c r="A11" s="487" t="s">
        <v>1198</v>
      </c>
      <c r="B11" s="675">
        <v>0</v>
      </c>
      <c r="C11" s="675">
        <v>26740</v>
      </c>
      <c r="D11" s="675">
        <v>0</v>
      </c>
      <c r="E11" s="431">
        <f>4bm!J48</f>
        <v>30486</v>
      </c>
      <c r="G11" s="373" t="s">
        <v>1433</v>
      </c>
      <c r="H11" s="259">
        <f>H8+H9+H10</f>
        <v>0</v>
      </c>
      <c r="I11" s="259">
        <f>H11*0.9</f>
        <v>0</v>
      </c>
      <c r="J11" s="259">
        <f>(H11-I11)*0.5</f>
        <v>0</v>
      </c>
      <c r="K11" s="259"/>
    </row>
    <row r="12" spans="1:5" ht="27" customHeight="1">
      <c r="A12" s="487" t="s">
        <v>1200</v>
      </c>
      <c r="B12" s="675">
        <v>0</v>
      </c>
      <c r="C12" s="675">
        <v>3863</v>
      </c>
      <c r="D12" s="675">
        <f>4am!D41</f>
        <v>15896</v>
      </c>
      <c r="E12" s="675">
        <f>4bm!J30</f>
        <v>10544</v>
      </c>
    </row>
    <row r="13" spans="1:5" ht="27" customHeight="1">
      <c r="A13" s="487" t="s">
        <v>1201</v>
      </c>
      <c r="B13" s="675">
        <v>0</v>
      </c>
      <c r="C13" s="675">
        <v>0</v>
      </c>
      <c r="D13" s="675">
        <f>4am!D46</f>
        <v>4765</v>
      </c>
      <c r="E13" s="675">
        <v>0</v>
      </c>
    </row>
    <row r="14" spans="1:5" ht="27" customHeight="1">
      <c r="A14" s="487" t="s">
        <v>1202</v>
      </c>
      <c r="B14" s="675">
        <v>0</v>
      </c>
      <c r="C14" s="675">
        <v>0</v>
      </c>
      <c r="D14" s="675">
        <f>4am!D45</f>
        <v>55297</v>
      </c>
      <c r="E14" s="675">
        <f>4bm!J23</f>
        <v>15450</v>
      </c>
    </row>
    <row r="15" spans="1:5" ht="27" customHeight="1">
      <c r="A15" s="487" t="s">
        <v>1203</v>
      </c>
      <c r="B15" s="675">
        <f>E15-D15</f>
        <v>1933</v>
      </c>
      <c r="C15" s="675">
        <v>0</v>
      </c>
      <c r="D15" s="431">
        <f>4am!D48</f>
        <v>4830</v>
      </c>
      <c r="E15" s="675">
        <f>4bm!J36</f>
        <v>6763</v>
      </c>
    </row>
    <row r="16" spans="1:5" ht="27" customHeight="1">
      <c r="A16" s="487" t="s">
        <v>1204</v>
      </c>
      <c r="B16" s="675">
        <v>0</v>
      </c>
      <c r="C16" s="675">
        <v>0</v>
      </c>
      <c r="D16" s="675">
        <f>1am!P55</f>
        <v>3979</v>
      </c>
      <c r="E16" s="675">
        <f>D16+C16+B16</f>
        <v>3979</v>
      </c>
    </row>
    <row r="17" spans="1:5" ht="27" customHeight="1">
      <c r="A17" s="487" t="s">
        <v>1205</v>
      </c>
      <c r="B17" s="675">
        <v>0</v>
      </c>
      <c r="C17" s="675">
        <v>528</v>
      </c>
      <c r="D17" s="675">
        <f>4am!D47</f>
        <v>38228</v>
      </c>
      <c r="E17" s="675">
        <f>4bm!J26</f>
        <v>34088</v>
      </c>
    </row>
    <row r="18" spans="1:5" s="97" customFormat="1" ht="27" customHeight="1">
      <c r="A18" s="872" t="s">
        <v>145</v>
      </c>
      <c r="B18" s="873">
        <f>SUM(B10:B17)</f>
        <v>2761</v>
      </c>
      <c r="C18" s="873">
        <f>SUM(C10:C17)</f>
        <v>31131</v>
      </c>
      <c r="D18" s="873">
        <f>SUM(D10:D17)</f>
        <v>124432</v>
      </c>
      <c r="E18" s="873">
        <f>SUM(E10:E17)</f>
        <v>103575</v>
      </c>
    </row>
    <row r="20" spans="1:5" ht="48.75" customHeight="1">
      <c r="A20" s="2992"/>
      <c r="B20" s="2992"/>
      <c r="C20" s="2992"/>
      <c r="D20" s="2992"/>
      <c r="E20" s="2992"/>
    </row>
  </sheetData>
  <sheetProtection/>
  <mergeCells count="5">
    <mergeCell ref="A20:E20"/>
    <mergeCell ref="D8:E8"/>
    <mergeCell ref="A5:E6"/>
    <mergeCell ref="D1:E1"/>
    <mergeCell ref="A3:E3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60" zoomScalePageLayoutView="0" workbookViewId="0" topLeftCell="A1">
      <selection activeCell="L9" sqref="L9:M9"/>
    </sheetView>
  </sheetViews>
  <sheetFormatPr defaultColWidth="9.140625" defaultRowHeight="12.75"/>
  <cols>
    <col min="1" max="1" width="17.00390625" style="0" bestFit="1" customWidth="1"/>
    <col min="2" max="2" width="10.8515625" style="0" customWidth="1"/>
    <col min="3" max="3" width="11.28125" style="0" customWidth="1"/>
    <col min="4" max="4" width="11.7109375" style="0" customWidth="1"/>
    <col min="5" max="5" width="9.7109375" style="0" customWidth="1"/>
    <col min="6" max="6" width="11.00390625" style="0" customWidth="1"/>
    <col min="7" max="7" width="10.140625" style="0" customWidth="1"/>
    <col min="8" max="8" width="11.00390625" style="0" customWidth="1"/>
    <col min="9" max="10" width="10.8515625" style="0" customWidth="1"/>
    <col min="11" max="12" width="10.421875" style="0" customWidth="1"/>
    <col min="13" max="13" width="10.7109375" style="0" customWidth="1"/>
  </cols>
  <sheetData>
    <row r="1" spans="1:13" ht="12.75">
      <c r="A1" s="2178"/>
      <c r="B1" s="2178"/>
      <c r="C1" s="2178"/>
      <c r="D1" s="2178"/>
      <c r="E1" s="2178"/>
      <c r="F1" s="2178"/>
      <c r="G1" s="2178"/>
      <c r="H1" s="2178"/>
      <c r="I1" s="2178"/>
      <c r="J1" s="2178"/>
      <c r="K1" s="2178"/>
      <c r="L1" s="2178"/>
      <c r="M1" s="2178"/>
    </row>
    <row r="2" spans="1:13" ht="15">
      <c r="A2" s="2179"/>
      <c r="B2" s="2179"/>
      <c r="C2" s="2179"/>
      <c r="D2" s="2179"/>
      <c r="E2" s="2179"/>
      <c r="F2" s="2180"/>
      <c r="G2" s="2181"/>
      <c r="H2" s="2181"/>
      <c r="I2" s="2181"/>
      <c r="J2" s="2181"/>
      <c r="K2" s="2181"/>
      <c r="L2" s="2453" t="s">
        <v>719</v>
      </c>
      <c r="M2" s="2453"/>
    </row>
    <row r="3" spans="1:13" ht="15">
      <c r="A3" s="2179"/>
      <c r="B3" s="2179"/>
      <c r="C3" s="2179"/>
      <c r="D3" s="2179"/>
      <c r="E3" s="2179"/>
      <c r="F3" s="2182"/>
      <c r="G3" s="2182"/>
      <c r="H3" s="2182"/>
      <c r="I3" s="2182"/>
      <c r="J3" s="2182"/>
      <c r="K3" s="2182"/>
      <c r="L3" s="2180"/>
      <c r="M3" s="2180"/>
    </row>
    <row r="4" spans="1:13" ht="12.75">
      <c r="A4" s="3001" t="s">
        <v>1342</v>
      </c>
      <c r="B4" s="3001"/>
      <c r="C4" s="3001"/>
      <c r="D4" s="3001"/>
      <c r="E4" s="3001"/>
      <c r="F4" s="3001"/>
      <c r="G4" s="3001"/>
      <c r="H4" s="3001"/>
      <c r="I4" s="3001"/>
      <c r="J4" s="3001"/>
      <c r="K4" s="3001"/>
      <c r="L4" s="3001"/>
      <c r="M4" s="2183"/>
    </row>
    <row r="5" spans="1:13" ht="15">
      <c r="A5" s="2179"/>
      <c r="B5" s="2179"/>
      <c r="C5" s="2179"/>
      <c r="D5" s="2179"/>
      <c r="E5" s="2179"/>
      <c r="F5" s="2179"/>
      <c r="G5" s="2179"/>
      <c r="H5" s="2179"/>
      <c r="I5" s="2179"/>
      <c r="J5" s="2179"/>
      <c r="K5" s="2179"/>
      <c r="L5" s="2180"/>
      <c r="M5" s="2180"/>
    </row>
    <row r="6" spans="1:13" ht="15.75">
      <c r="A6" s="3002" t="s">
        <v>702</v>
      </c>
      <c r="B6" s="3002"/>
      <c r="C6" s="3002"/>
      <c r="D6" s="3002"/>
      <c r="E6" s="3002"/>
      <c r="F6" s="3002"/>
      <c r="G6" s="3002"/>
      <c r="H6" s="3002"/>
      <c r="I6" s="3002"/>
      <c r="J6" s="3002"/>
      <c r="K6" s="3002"/>
      <c r="L6" s="3002"/>
      <c r="M6" s="2184"/>
    </row>
    <row r="7" spans="1:13" ht="15.75">
      <c r="A7" s="2184"/>
      <c r="B7" s="2184"/>
      <c r="C7" s="2184"/>
      <c r="D7" s="2184"/>
      <c r="E7" s="2184"/>
      <c r="F7" s="2184"/>
      <c r="G7" s="2184"/>
      <c r="H7" s="2184"/>
      <c r="I7" s="2184"/>
      <c r="J7" s="2184"/>
      <c r="K7" s="2184"/>
      <c r="L7" s="2184"/>
      <c r="M7" s="2184"/>
    </row>
    <row r="8" spans="1:13" ht="15">
      <c r="A8" s="2179"/>
      <c r="B8" s="2179"/>
      <c r="C8" s="2179"/>
      <c r="D8" s="2179"/>
      <c r="E8" s="2179"/>
      <c r="F8" s="2179"/>
      <c r="G8" s="2179"/>
      <c r="H8" s="2179"/>
      <c r="I8" s="2179"/>
      <c r="J8" s="2179"/>
      <c r="K8" s="2179"/>
      <c r="L8" s="2180"/>
      <c r="M8" s="2180"/>
    </row>
    <row r="9" spans="1:13" ht="15">
      <c r="A9" s="2179"/>
      <c r="B9" s="2179"/>
      <c r="C9" s="2179"/>
      <c r="D9" s="2179"/>
      <c r="E9" s="2179"/>
      <c r="F9" s="2180"/>
      <c r="G9" s="2180"/>
      <c r="H9" s="2180"/>
      <c r="I9" s="2180"/>
      <c r="J9" s="2180"/>
      <c r="K9" s="2180"/>
      <c r="L9" s="2453" t="s">
        <v>1371</v>
      </c>
      <c r="M9" s="2453"/>
    </row>
    <row r="10" spans="1:13" ht="15.75" thickBot="1">
      <c r="A10" s="2179"/>
      <c r="B10" s="2179"/>
      <c r="C10" s="2179"/>
      <c r="D10" s="2179"/>
      <c r="E10" s="2179"/>
      <c r="F10" s="2179"/>
      <c r="G10" s="2179"/>
      <c r="H10" s="2179"/>
      <c r="I10" s="2179"/>
      <c r="J10" s="2179"/>
      <c r="K10" s="2179"/>
      <c r="L10" s="2180"/>
      <c r="M10" s="2180"/>
    </row>
    <row r="11" spans="1:13" ht="37.5" customHeight="1" thickBot="1">
      <c r="A11" s="2999" t="s">
        <v>703</v>
      </c>
      <c r="B11" s="2995" t="s">
        <v>704</v>
      </c>
      <c r="C11" s="2996"/>
      <c r="D11" s="2995" t="s">
        <v>694</v>
      </c>
      <c r="E11" s="2996"/>
      <c r="F11" s="2995" t="s">
        <v>1333</v>
      </c>
      <c r="G11" s="2996"/>
      <c r="H11" s="2995" t="s">
        <v>2185</v>
      </c>
      <c r="I11" s="2996"/>
      <c r="J11" s="2995" t="s">
        <v>572</v>
      </c>
      <c r="K11" s="2996"/>
      <c r="L11" s="2997" t="s">
        <v>705</v>
      </c>
      <c r="M11" s="2998"/>
    </row>
    <row r="12" spans="1:13" ht="13.5" thickBot="1">
      <c r="A12" s="3000"/>
      <c r="B12" s="2185" t="s">
        <v>1875</v>
      </c>
      <c r="C12" s="2185" t="s">
        <v>756</v>
      </c>
      <c r="D12" s="2185" t="s">
        <v>1875</v>
      </c>
      <c r="E12" s="2185" t="s">
        <v>756</v>
      </c>
      <c r="F12" s="2185" t="s">
        <v>1875</v>
      </c>
      <c r="G12" s="2185" t="s">
        <v>756</v>
      </c>
      <c r="H12" s="2185" t="s">
        <v>1875</v>
      </c>
      <c r="I12" s="2185" t="s">
        <v>756</v>
      </c>
      <c r="J12" s="2185" t="s">
        <v>1875</v>
      </c>
      <c r="K12" s="2185" t="s">
        <v>756</v>
      </c>
      <c r="L12" s="2185" t="s">
        <v>1875</v>
      </c>
      <c r="M12" s="2185" t="s">
        <v>756</v>
      </c>
    </row>
    <row r="13" spans="1:13" ht="12.75">
      <c r="A13" s="2186" t="s">
        <v>706</v>
      </c>
      <c r="B13" s="2187">
        <v>331915.685</v>
      </c>
      <c r="C13" s="2188">
        <v>604639.904</v>
      </c>
      <c r="D13" s="2189">
        <v>2097.24</v>
      </c>
      <c r="E13" s="2190">
        <v>19.784</v>
      </c>
      <c r="F13" s="2189">
        <v>0</v>
      </c>
      <c r="G13" s="2190">
        <v>0</v>
      </c>
      <c r="H13" s="2190">
        <v>5525.491</v>
      </c>
      <c r="I13" s="2190">
        <v>31.156</v>
      </c>
      <c r="J13" s="2190">
        <v>0</v>
      </c>
      <c r="K13" s="2190">
        <v>0</v>
      </c>
      <c r="L13" s="2191">
        <f>B13+D13+F13+H13+J13</f>
        <v>339538.41599999997</v>
      </c>
      <c r="M13" s="2191">
        <f>C13+E13+G13+I13+K13</f>
        <v>604690.8439999999</v>
      </c>
    </row>
    <row r="14" spans="1:13" ht="12.75">
      <c r="A14" s="2192" t="s">
        <v>707</v>
      </c>
      <c r="B14" s="2193">
        <v>205929.088</v>
      </c>
      <c r="C14" s="977">
        <v>236245.196</v>
      </c>
      <c r="D14" s="2194">
        <v>69.646</v>
      </c>
      <c r="E14" s="2195">
        <v>34.481</v>
      </c>
      <c r="F14" s="2194">
        <v>0</v>
      </c>
      <c r="G14" s="2195">
        <v>0</v>
      </c>
      <c r="H14" s="2190">
        <v>0</v>
      </c>
      <c r="I14" s="2190">
        <v>9.16</v>
      </c>
      <c r="J14" s="2190">
        <v>0</v>
      </c>
      <c r="K14" s="2190">
        <v>0</v>
      </c>
      <c r="L14" s="2191">
        <f aca="true" t="shared" si="0" ref="L14:M25">B14+D14+F14+H14+J14</f>
        <v>205998.734</v>
      </c>
      <c r="M14" s="2191">
        <f t="shared" si="0"/>
        <v>236288.837</v>
      </c>
    </row>
    <row r="15" spans="1:13" ht="12.75">
      <c r="A15" s="2192" t="s">
        <v>708</v>
      </c>
      <c r="B15" s="2193">
        <v>611855.031</v>
      </c>
      <c r="C15" s="977">
        <v>349912.21</v>
      </c>
      <c r="D15" s="2194">
        <v>20.101</v>
      </c>
      <c r="E15" s="2195">
        <v>50.457</v>
      </c>
      <c r="F15" s="2194">
        <v>2160.858</v>
      </c>
      <c r="G15" s="2196">
        <v>1417.089</v>
      </c>
      <c r="H15" s="2190">
        <v>13203.327</v>
      </c>
      <c r="I15" s="2190">
        <v>13165.961</v>
      </c>
      <c r="J15" s="2190">
        <v>3106.086</v>
      </c>
      <c r="K15" s="2190">
        <v>815.849</v>
      </c>
      <c r="L15" s="2191">
        <f t="shared" si="0"/>
        <v>630345.403</v>
      </c>
      <c r="M15" s="2191">
        <f t="shared" si="0"/>
        <v>365361.566</v>
      </c>
    </row>
    <row r="16" spans="1:13" ht="12.75">
      <c r="A16" s="2192" t="s">
        <v>709</v>
      </c>
      <c r="B16" s="2193">
        <v>184041.861</v>
      </c>
      <c r="C16" s="977">
        <v>532486.612</v>
      </c>
      <c r="D16" s="2194">
        <v>2065.1</v>
      </c>
      <c r="E16" s="2195">
        <v>2020.762</v>
      </c>
      <c r="F16" s="2194">
        <v>1963.566</v>
      </c>
      <c r="G16" s="2195">
        <v>1690.096</v>
      </c>
      <c r="H16" s="2190">
        <v>13231.654</v>
      </c>
      <c r="I16" s="2190">
        <v>13475.234</v>
      </c>
      <c r="J16" s="2190">
        <v>1214.78</v>
      </c>
      <c r="K16" s="2190">
        <v>489.709</v>
      </c>
      <c r="L16" s="2191">
        <f t="shared" si="0"/>
        <v>202516.961</v>
      </c>
      <c r="M16" s="2191">
        <f t="shared" si="0"/>
        <v>550162.4130000001</v>
      </c>
    </row>
    <row r="17" spans="1:13" ht="12.75">
      <c r="A17" s="2192" t="s">
        <v>710</v>
      </c>
      <c r="B17" s="2193">
        <v>274243.409</v>
      </c>
      <c r="C17" s="977">
        <v>258475.146</v>
      </c>
      <c r="D17" s="2194">
        <v>1197.995</v>
      </c>
      <c r="E17" s="2195">
        <v>2549.316</v>
      </c>
      <c r="F17" s="2194">
        <v>2331.873</v>
      </c>
      <c r="G17" s="2195">
        <v>3317.75</v>
      </c>
      <c r="H17" s="2190">
        <v>9401.388</v>
      </c>
      <c r="I17" s="2190">
        <v>9257.974</v>
      </c>
      <c r="J17" s="2190">
        <v>5795.565</v>
      </c>
      <c r="K17" s="2190">
        <v>4116.255</v>
      </c>
      <c r="L17" s="2191">
        <f t="shared" si="0"/>
        <v>292970.23</v>
      </c>
      <c r="M17" s="2191">
        <f t="shared" si="0"/>
        <v>277716.441</v>
      </c>
    </row>
    <row r="18" spans="1:13" ht="12.75">
      <c r="A18" s="2192" t="s">
        <v>711</v>
      </c>
      <c r="B18" s="2193">
        <v>570516.617</v>
      </c>
      <c r="C18" s="977">
        <v>335891.524</v>
      </c>
      <c r="D18" s="2194">
        <v>2217.308</v>
      </c>
      <c r="E18" s="2195">
        <v>2265.984</v>
      </c>
      <c r="F18" s="2194">
        <v>4500.268</v>
      </c>
      <c r="G18" s="2195">
        <v>3695.764</v>
      </c>
      <c r="H18" s="2190">
        <v>12631.311</v>
      </c>
      <c r="I18" s="2190">
        <v>10451.842</v>
      </c>
      <c r="J18" s="2190">
        <v>759.159</v>
      </c>
      <c r="K18" s="2190">
        <v>1263.044</v>
      </c>
      <c r="L18" s="2191">
        <f t="shared" si="0"/>
        <v>590624.663</v>
      </c>
      <c r="M18" s="2191">
        <f t="shared" si="0"/>
        <v>353568.158</v>
      </c>
    </row>
    <row r="19" spans="1:13" ht="12.75">
      <c r="A19" s="2192" t="s">
        <v>712</v>
      </c>
      <c r="B19" s="2193">
        <v>309789.393</v>
      </c>
      <c r="C19" s="977">
        <v>432546.322</v>
      </c>
      <c r="D19" s="2194">
        <v>9003.51</v>
      </c>
      <c r="E19" s="2195">
        <v>9013.82</v>
      </c>
      <c r="F19" s="2194">
        <v>1944.415</v>
      </c>
      <c r="G19" s="2197">
        <v>2694.143</v>
      </c>
      <c r="H19" s="2190">
        <v>9620.695</v>
      </c>
      <c r="I19" s="2190">
        <v>12600.924</v>
      </c>
      <c r="J19" s="2190">
        <v>1554.79</v>
      </c>
      <c r="K19" s="2190">
        <v>1422.904</v>
      </c>
      <c r="L19" s="2191">
        <f t="shared" si="0"/>
        <v>331912.80299999996</v>
      </c>
      <c r="M19" s="2191">
        <f t="shared" si="0"/>
        <v>458278.11299999995</v>
      </c>
    </row>
    <row r="20" spans="1:13" ht="12.75">
      <c r="A20" s="2192" t="s">
        <v>713</v>
      </c>
      <c r="B20" s="2193">
        <v>240183.884</v>
      </c>
      <c r="C20" s="977">
        <v>206991.487</v>
      </c>
      <c r="D20" s="2194">
        <v>2872.76</v>
      </c>
      <c r="E20" s="2195">
        <v>2748.235</v>
      </c>
      <c r="F20" s="2194">
        <v>2756.188</v>
      </c>
      <c r="G20" s="2197">
        <v>2807.664</v>
      </c>
      <c r="H20" s="2190">
        <v>8918.273</v>
      </c>
      <c r="I20" s="2190">
        <v>11201.243</v>
      </c>
      <c r="J20" s="2190">
        <v>1217.469</v>
      </c>
      <c r="K20" s="2190">
        <v>1793.646</v>
      </c>
      <c r="L20" s="2191">
        <f t="shared" si="0"/>
        <v>255948.574</v>
      </c>
      <c r="M20" s="2191">
        <f t="shared" si="0"/>
        <v>225542.27499999997</v>
      </c>
    </row>
    <row r="21" spans="1:13" ht="12.75">
      <c r="A21" s="2192" t="s">
        <v>714</v>
      </c>
      <c r="B21" s="2193">
        <v>424639.273</v>
      </c>
      <c r="C21" s="977">
        <v>280329.17</v>
      </c>
      <c r="D21" s="2194">
        <v>2288.487</v>
      </c>
      <c r="E21" s="2195">
        <v>2240.328</v>
      </c>
      <c r="F21" s="2194">
        <v>2418.448</v>
      </c>
      <c r="G21" s="2197">
        <v>1645.216</v>
      </c>
      <c r="H21" s="2190">
        <v>12265.768</v>
      </c>
      <c r="I21" s="2190">
        <v>12663.654</v>
      </c>
      <c r="J21" s="2190">
        <v>1343.441</v>
      </c>
      <c r="K21" s="2190">
        <v>971.138</v>
      </c>
      <c r="L21" s="2191">
        <f t="shared" si="0"/>
        <v>442955.41699999996</v>
      </c>
      <c r="M21" s="2191">
        <f t="shared" si="0"/>
        <v>297849.50599999994</v>
      </c>
    </row>
    <row r="22" spans="1:13" ht="12.75">
      <c r="A22" s="2192" t="s">
        <v>715</v>
      </c>
      <c r="B22" s="2193">
        <v>444007.214</v>
      </c>
      <c r="C22" s="977">
        <v>521465.282</v>
      </c>
      <c r="D22" s="2194">
        <v>4380.375</v>
      </c>
      <c r="E22" s="2195">
        <v>4379.924</v>
      </c>
      <c r="F22" s="2194">
        <v>2261.77</v>
      </c>
      <c r="G22" s="2197">
        <v>2965.212</v>
      </c>
      <c r="H22" s="2190">
        <v>11968.257</v>
      </c>
      <c r="I22" s="2190">
        <v>11520.586</v>
      </c>
      <c r="J22" s="2190">
        <v>2833.244</v>
      </c>
      <c r="K22" s="2190">
        <v>5304.936</v>
      </c>
      <c r="L22" s="2191">
        <f t="shared" si="0"/>
        <v>465450.86</v>
      </c>
      <c r="M22" s="2191">
        <f t="shared" si="0"/>
        <v>545635.9400000001</v>
      </c>
    </row>
    <row r="23" spans="1:13" ht="12.75">
      <c r="A23" s="2192" t="s">
        <v>716</v>
      </c>
      <c r="B23" s="2193">
        <v>171302.879</v>
      </c>
      <c r="C23" s="977">
        <v>196941.261</v>
      </c>
      <c r="D23" s="2194">
        <v>1981.595</v>
      </c>
      <c r="E23" s="2195">
        <v>2062.913</v>
      </c>
      <c r="F23" s="2194">
        <v>2108.551</v>
      </c>
      <c r="G23" s="2190">
        <v>1915.929</v>
      </c>
      <c r="H23" s="2190">
        <v>6493.727</v>
      </c>
      <c r="I23" s="2190">
        <v>7121.148</v>
      </c>
      <c r="J23" s="2190">
        <v>3087.899</v>
      </c>
      <c r="K23" s="2190">
        <v>3011.308</v>
      </c>
      <c r="L23" s="2191">
        <f t="shared" si="0"/>
        <v>184974.651</v>
      </c>
      <c r="M23" s="2191">
        <f t="shared" si="0"/>
        <v>211052.55899999998</v>
      </c>
    </row>
    <row r="24" spans="1:13" ht="13.5" thickBot="1">
      <c r="A24" s="2198" t="s">
        <v>717</v>
      </c>
      <c r="B24" s="2199">
        <v>583741.58</v>
      </c>
      <c r="C24" s="2200">
        <v>453536.93</v>
      </c>
      <c r="D24" s="2201">
        <v>5584.632</v>
      </c>
      <c r="E24" s="2197">
        <v>5539.636</v>
      </c>
      <c r="F24" s="2201">
        <v>5012.167</v>
      </c>
      <c r="G24" s="2190">
        <v>5211.249</v>
      </c>
      <c r="H24" s="2190">
        <v>21110.496</v>
      </c>
      <c r="I24" s="2190">
        <v>18382.64</v>
      </c>
      <c r="J24" s="2190">
        <v>5812.079</v>
      </c>
      <c r="K24" s="2190">
        <v>4310.975</v>
      </c>
      <c r="L24" s="2191">
        <f t="shared" si="0"/>
        <v>621260.954</v>
      </c>
      <c r="M24" s="2191">
        <f t="shared" si="0"/>
        <v>486981.43</v>
      </c>
    </row>
    <row r="25" spans="1:13" ht="13.5" thickBot="1">
      <c r="A25" s="2202" t="s">
        <v>705</v>
      </c>
      <c r="B25" s="2203">
        <f aca="true" t="shared" si="1" ref="B25:K25">SUM(B13:B24)</f>
        <v>4352165.914000001</v>
      </c>
      <c r="C25" s="2204">
        <f t="shared" si="1"/>
        <v>4409461.044000001</v>
      </c>
      <c r="D25" s="2203">
        <f t="shared" si="1"/>
        <v>33778.749</v>
      </c>
      <c r="E25" s="2203">
        <f t="shared" si="1"/>
        <v>32925.64</v>
      </c>
      <c r="F25" s="2203">
        <f t="shared" si="1"/>
        <v>27458.104</v>
      </c>
      <c r="G25" s="2203">
        <f t="shared" si="1"/>
        <v>27360.112</v>
      </c>
      <c r="H25" s="2203">
        <f t="shared" si="1"/>
        <v>124370.38699999999</v>
      </c>
      <c r="I25" s="2203">
        <f t="shared" si="1"/>
        <v>119881.522</v>
      </c>
      <c r="J25" s="2203">
        <f t="shared" si="1"/>
        <v>26724.512000000002</v>
      </c>
      <c r="K25" s="2203">
        <f t="shared" si="1"/>
        <v>23499.764000000003</v>
      </c>
      <c r="L25" s="2203">
        <f t="shared" si="0"/>
        <v>4564497.666000001</v>
      </c>
      <c r="M25" s="2203">
        <f t="shared" si="0"/>
        <v>4613128.082</v>
      </c>
    </row>
    <row r="26" spans="1:13" ht="12.75">
      <c r="A26" s="2205"/>
      <c r="B26" s="2206"/>
      <c r="C26" s="2205">
        <f>B25-C25</f>
        <v>-57295.12999999989</v>
      </c>
      <c r="D26" s="2206"/>
      <c r="E26" s="2205">
        <f>D25-E25</f>
        <v>853.109000000004</v>
      </c>
      <c r="F26" s="2206"/>
      <c r="G26" s="2205">
        <f>F25-G25</f>
        <v>97.99199999999837</v>
      </c>
      <c r="H26" s="2207"/>
      <c r="I26" s="2207">
        <f>H25-I25</f>
        <v>4488.864999999991</v>
      </c>
      <c r="J26" s="2207"/>
      <c r="K26" s="2207">
        <f>J25-K25</f>
        <v>3224.7479999999996</v>
      </c>
      <c r="L26" s="2207"/>
      <c r="M26" s="2208">
        <f>L25-M25</f>
        <v>-48630.41599999927</v>
      </c>
    </row>
    <row r="27" spans="1:13" ht="12.75">
      <c r="A27" s="2178"/>
      <c r="B27" s="2178"/>
      <c r="C27" s="2178"/>
      <c r="D27" s="2178"/>
      <c r="E27" s="2178"/>
      <c r="F27" s="2178"/>
      <c r="G27" s="2178"/>
      <c r="H27" s="2178"/>
      <c r="I27" s="2178"/>
      <c r="J27" s="2178"/>
      <c r="K27" s="2178"/>
      <c r="L27" s="2178"/>
      <c r="M27" s="2178"/>
    </row>
    <row r="28" spans="1:13" ht="12.75">
      <c r="A28" s="2178"/>
      <c r="B28" s="2178"/>
      <c r="C28" s="2178"/>
      <c r="D28" s="2178"/>
      <c r="E28" s="2178"/>
      <c r="F28" s="2178"/>
      <c r="G28" s="2178"/>
      <c r="H28" s="2178"/>
      <c r="I28" s="2178"/>
      <c r="J28" s="2178"/>
      <c r="K28" s="2178"/>
      <c r="L28" s="2178"/>
      <c r="M28" s="2178"/>
    </row>
    <row r="29" spans="1:13" ht="12.75">
      <c r="A29" s="2178"/>
      <c r="B29" s="2178"/>
      <c r="C29" s="2178"/>
      <c r="D29" s="2178"/>
      <c r="E29" s="2178"/>
      <c r="F29" s="2178"/>
      <c r="G29" s="2178"/>
      <c r="H29" s="2178"/>
      <c r="I29" s="2178"/>
      <c r="J29" s="2178"/>
      <c r="K29" s="2178"/>
      <c r="L29" s="2178"/>
      <c r="M29" s="2178"/>
    </row>
    <row r="30" spans="1:13" ht="12.75">
      <c r="A30" s="2178"/>
      <c r="B30" s="2178"/>
      <c r="C30" s="2178"/>
      <c r="D30" s="2178"/>
      <c r="E30" s="2178"/>
      <c r="F30" s="2178"/>
      <c r="G30" s="2178"/>
      <c r="H30" s="2178"/>
      <c r="I30" s="2178"/>
      <c r="J30" s="2178"/>
      <c r="K30" s="2178"/>
      <c r="L30" s="2178"/>
      <c r="M30" s="2178"/>
    </row>
    <row r="31" spans="1:13" ht="12.75">
      <c r="A31" s="2178"/>
      <c r="B31" s="2178"/>
      <c r="C31" s="2178"/>
      <c r="D31" s="2178"/>
      <c r="E31" s="2178"/>
      <c r="F31" s="2178"/>
      <c r="G31" s="2178"/>
      <c r="H31" s="2178"/>
      <c r="I31" s="2178"/>
      <c r="J31" s="2178"/>
      <c r="K31" s="2178"/>
      <c r="L31" s="2178"/>
      <c r="M31" s="2178"/>
    </row>
    <row r="32" spans="1:13" ht="12.75">
      <c r="A32" s="2178"/>
      <c r="B32" s="2178"/>
      <c r="C32" s="2178"/>
      <c r="D32" s="2178"/>
      <c r="E32" s="2178"/>
      <c r="F32" s="2178"/>
      <c r="G32" s="2178"/>
      <c r="H32" s="2178"/>
      <c r="I32" s="2178"/>
      <c r="J32" s="2178"/>
      <c r="K32" s="2178"/>
      <c r="L32" s="2178"/>
      <c r="M32" s="2178"/>
    </row>
    <row r="33" spans="1:13" ht="12.75">
      <c r="A33" s="2178"/>
      <c r="B33" s="2178"/>
      <c r="C33" s="2178"/>
      <c r="D33" s="2178"/>
      <c r="E33" s="2178"/>
      <c r="F33" s="2178"/>
      <c r="G33" s="2178"/>
      <c r="H33" s="2178"/>
      <c r="I33" s="2178"/>
      <c r="J33" s="2178"/>
      <c r="K33" s="2178"/>
      <c r="L33" s="2178"/>
      <c r="M33" s="2178"/>
    </row>
  </sheetData>
  <sheetProtection/>
  <mergeCells count="11">
    <mergeCell ref="L2:M2"/>
    <mergeCell ref="A4:L4"/>
    <mergeCell ref="A6:L6"/>
    <mergeCell ref="L9:M9"/>
    <mergeCell ref="H11:I11"/>
    <mergeCell ref="J11:K11"/>
    <mergeCell ref="L11:M11"/>
    <mergeCell ref="A11:A12"/>
    <mergeCell ref="B11:C11"/>
    <mergeCell ref="D11:E11"/>
    <mergeCell ref="F11:G11"/>
  </mergeCells>
  <printOptions/>
  <pageMargins left="0.7" right="0.7" top="0.75" bottom="0.75" header="0.3" footer="0.3"/>
  <pageSetup horizontalDpi="1200" verticalDpi="1200" orientation="landscape" paperSize="9" scale="80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workbookViewId="0" topLeftCell="A1">
      <selection activeCell="F40" sqref="F40"/>
    </sheetView>
  </sheetViews>
  <sheetFormatPr defaultColWidth="9.140625" defaultRowHeight="12.75"/>
  <cols>
    <col min="1" max="1" width="42.421875" style="0" customWidth="1"/>
    <col min="2" max="2" width="18.421875" style="0" hidden="1" customWidth="1"/>
    <col min="3" max="3" width="14.28125" style="0" customWidth="1"/>
    <col min="4" max="4" width="14.140625" style="0" customWidth="1"/>
    <col min="5" max="5" width="13.57421875" style="0" customWidth="1"/>
    <col min="6" max="6" width="20.28125" style="0" customWidth="1"/>
  </cols>
  <sheetData>
    <row r="1" spans="1:6" ht="15">
      <c r="A1" s="3003" t="s">
        <v>720</v>
      </c>
      <c r="B1" s="3003"/>
      <c r="C1" s="3003"/>
      <c r="D1" s="3003"/>
      <c r="E1" s="3003"/>
      <c r="F1" s="3003"/>
    </row>
    <row r="2" spans="1:6" ht="12.75">
      <c r="A2" s="2178"/>
      <c r="B2" s="2178"/>
      <c r="C2" s="2178"/>
      <c r="D2" s="2178"/>
      <c r="E2" s="2178"/>
      <c r="F2" s="2178"/>
    </row>
    <row r="3" spans="1:6" ht="15">
      <c r="A3" s="3004" t="s">
        <v>1342</v>
      </c>
      <c r="B3" s="3004"/>
      <c r="C3" s="3004"/>
      <c r="D3" s="3004"/>
      <c r="E3" s="3004"/>
      <c r="F3" s="3004"/>
    </row>
    <row r="4" spans="1:6" ht="12.75">
      <c r="A4" s="2178"/>
      <c r="B4" s="2178"/>
      <c r="C4" s="2178"/>
      <c r="D4" s="2178"/>
      <c r="E4" s="2178"/>
      <c r="F4" s="2178"/>
    </row>
    <row r="5" spans="1:6" ht="12.75">
      <c r="A5" s="3005" t="s">
        <v>721</v>
      </c>
      <c r="B5" s="3005"/>
      <c r="C5" s="3005"/>
      <c r="D5" s="3005"/>
      <c r="E5" s="3005"/>
      <c r="F5" s="3005"/>
    </row>
    <row r="6" spans="1:6" ht="15.75" customHeight="1">
      <c r="A6" s="3005"/>
      <c r="B6" s="3005"/>
      <c r="C6" s="3005"/>
      <c r="D6" s="3005"/>
      <c r="E6" s="3005"/>
      <c r="F6" s="3005"/>
    </row>
    <row r="7" spans="1:6" ht="18.75" customHeight="1">
      <c r="A7" s="3005"/>
      <c r="B7" s="3005"/>
      <c r="C7" s="3005"/>
      <c r="D7" s="3005"/>
      <c r="E7" s="3005"/>
      <c r="F7" s="3005"/>
    </row>
    <row r="8" spans="1:6" ht="18.75">
      <c r="A8" s="2209"/>
      <c r="B8" s="2209"/>
      <c r="C8" s="2209"/>
      <c r="D8" s="2209"/>
      <c r="E8" s="2209"/>
      <c r="F8" s="2209"/>
    </row>
    <row r="9" spans="1:6" ht="13.5" thickBot="1">
      <c r="A9" s="2178"/>
      <c r="B9" s="2178"/>
      <c r="C9" s="2178"/>
      <c r="D9" s="2178"/>
      <c r="E9" s="2178"/>
      <c r="F9" s="2210" t="s">
        <v>722</v>
      </c>
    </row>
    <row r="10" spans="1:6" ht="15">
      <c r="A10" s="3006" t="s">
        <v>723</v>
      </c>
      <c r="B10" s="2211"/>
      <c r="C10" s="3008" t="s">
        <v>724</v>
      </c>
      <c r="D10" s="3008"/>
      <c r="E10" s="3008"/>
      <c r="F10" s="3009" t="s">
        <v>725</v>
      </c>
    </row>
    <row r="11" spans="1:6" ht="15.75" thickBot="1">
      <c r="A11" s="3007"/>
      <c r="B11" s="2212" t="s">
        <v>726</v>
      </c>
      <c r="C11" s="2213" t="s">
        <v>727</v>
      </c>
      <c r="D11" s="2213" t="s">
        <v>728</v>
      </c>
      <c r="E11" s="2213" t="s">
        <v>729</v>
      </c>
      <c r="F11" s="3010"/>
    </row>
    <row r="12" spans="1:6" ht="15" customHeight="1">
      <c r="A12" s="2214" t="s">
        <v>730</v>
      </c>
      <c r="B12" s="2215">
        <v>0.043</v>
      </c>
      <c r="C12" s="2216">
        <v>29840</v>
      </c>
      <c r="D12" s="2216">
        <v>0</v>
      </c>
      <c r="E12" s="2216">
        <f>C12-D12</f>
        <v>29840</v>
      </c>
      <c r="F12" s="2217">
        <v>719235</v>
      </c>
    </row>
    <row r="13" spans="1:6" ht="15" customHeight="1">
      <c r="A13" s="2218" t="s">
        <v>731</v>
      </c>
      <c r="B13" s="2219">
        <v>0.115</v>
      </c>
      <c r="C13" s="2220">
        <v>4664.868</v>
      </c>
      <c r="D13" s="2220">
        <v>591.972</v>
      </c>
      <c r="E13" s="2220">
        <f aca="true" t="shared" si="0" ref="E13:E20">C13-D13</f>
        <v>4072.8960000000006</v>
      </c>
      <c r="F13" s="2221">
        <v>276</v>
      </c>
    </row>
    <row r="14" spans="1:6" ht="15" customHeight="1">
      <c r="A14" s="2218" t="s">
        <v>732</v>
      </c>
      <c r="B14" s="2222" t="s">
        <v>733</v>
      </c>
      <c r="C14" s="2220">
        <v>106.971</v>
      </c>
      <c r="D14" s="2220">
        <v>0</v>
      </c>
      <c r="E14" s="2220">
        <f t="shared" si="0"/>
        <v>106.971</v>
      </c>
      <c r="F14" s="2221">
        <v>600276</v>
      </c>
    </row>
    <row r="15" spans="1:6" ht="15" customHeight="1">
      <c r="A15" s="2218" t="s">
        <v>734</v>
      </c>
      <c r="B15" s="2223">
        <v>0.02</v>
      </c>
      <c r="C15" s="2220">
        <v>770</v>
      </c>
      <c r="D15" s="2220">
        <v>0</v>
      </c>
      <c r="E15" s="2220">
        <f t="shared" si="0"/>
        <v>770</v>
      </c>
      <c r="F15" s="2221">
        <v>42908</v>
      </c>
    </row>
    <row r="16" spans="1:6" ht="15" customHeight="1">
      <c r="A16" s="2218" t="s">
        <v>735</v>
      </c>
      <c r="B16" s="2223">
        <v>1</v>
      </c>
      <c r="C16" s="2220">
        <v>500</v>
      </c>
      <c r="D16" s="2220">
        <v>0</v>
      </c>
      <c r="E16" s="2220">
        <f t="shared" si="0"/>
        <v>500</v>
      </c>
      <c r="F16" s="2221">
        <v>2026</v>
      </c>
    </row>
    <row r="17" spans="1:6" ht="15" customHeight="1">
      <c r="A17" s="2218" t="s">
        <v>736</v>
      </c>
      <c r="B17" s="2224">
        <v>0.059</v>
      </c>
      <c r="C17" s="2220">
        <v>100</v>
      </c>
      <c r="D17" s="2220">
        <v>0</v>
      </c>
      <c r="E17" s="2220">
        <f t="shared" si="0"/>
        <v>100</v>
      </c>
      <c r="F17" s="2221">
        <v>71471</v>
      </c>
    </row>
    <row r="18" spans="1:6" ht="15" customHeight="1">
      <c r="A18" s="2218" t="s">
        <v>737</v>
      </c>
      <c r="B18" s="2223">
        <v>0.1</v>
      </c>
      <c r="C18" s="2220">
        <v>500</v>
      </c>
      <c r="D18" s="2220">
        <v>0</v>
      </c>
      <c r="E18" s="2220">
        <f t="shared" si="0"/>
        <v>500</v>
      </c>
      <c r="F18" s="2221">
        <v>55302</v>
      </c>
    </row>
    <row r="19" spans="1:6" ht="15" customHeight="1" thickBot="1">
      <c r="A19" s="2225" t="s">
        <v>60</v>
      </c>
      <c r="B19" s="2226">
        <v>1</v>
      </c>
      <c r="C19" s="2227">
        <v>4362.15</v>
      </c>
      <c r="D19" s="2227">
        <v>1791.971</v>
      </c>
      <c r="E19" s="2227">
        <f t="shared" si="0"/>
        <v>2570.1789999999996</v>
      </c>
      <c r="F19" s="2228">
        <v>4856</v>
      </c>
    </row>
    <row r="20" spans="1:6" ht="15" customHeight="1" thickBot="1">
      <c r="A20" s="2229" t="s">
        <v>738</v>
      </c>
      <c r="B20" s="2230"/>
      <c r="C20" s="2231">
        <f>SUM(C12:C19)</f>
        <v>40843.989</v>
      </c>
      <c r="D20" s="2231">
        <f>SUM(D12:D19)</f>
        <v>2383.943</v>
      </c>
      <c r="E20" s="2231">
        <f t="shared" si="0"/>
        <v>38460.046</v>
      </c>
      <c r="F20" s="2232">
        <f>SUM(F12:F19)</f>
        <v>1496350</v>
      </c>
    </row>
    <row r="21" spans="1:6" ht="12.75">
      <c r="A21" s="2178"/>
      <c r="B21" s="2178"/>
      <c r="C21" s="2233"/>
      <c r="D21" s="2233"/>
      <c r="E21" s="2233"/>
      <c r="F21" s="2178"/>
    </row>
  </sheetData>
  <mergeCells count="6">
    <mergeCell ref="A1:F1"/>
    <mergeCell ref="A3:F3"/>
    <mergeCell ref="A5:F7"/>
    <mergeCell ref="A10:A11"/>
    <mergeCell ref="C10:E10"/>
    <mergeCell ref="F10:F11"/>
  </mergeCells>
  <printOptions/>
  <pageMargins left="0.75" right="0.75" top="1" bottom="1" header="0.5" footer="0.5"/>
  <pageSetup horizontalDpi="1200" verticalDpi="12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F62"/>
  <sheetViews>
    <sheetView view="pageBreakPreview" zoomScale="80" zoomScaleSheetLayoutView="80" zoomScalePageLayoutView="0" workbookViewId="0" topLeftCell="A57">
      <selection activeCell="D26" sqref="D26"/>
    </sheetView>
  </sheetViews>
  <sheetFormatPr defaultColWidth="9.140625" defaultRowHeight="12.75"/>
  <cols>
    <col min="1" max="1" width="82.28125" style="0" customWidth="1"/>
    <col min="2" max="2" width="22.140625" style="0" customWidth="1"/>
    <col min="3" max="3" width="22.00390625" style="0" customWidth="1"/>
    <col min="4" max="4" width="15.28125" style="0" customWidth="1"/>
    <col min="5" max="5" width="13.140625" style="0" customWidth="1"/>
  </cols>
  <sheetData>
    <row r="1" spans="2:5" s="175" customFormat="1" ht="15.75">
      <c r="B1" s="2338" t="s">
        <v>1250</v>
      </c>
      <c r="C1" s="2338"/>
      <c r="D1" s="2338"/>
      <c r="E1" s="2338"/>
    </row>
    <row r="2" spans="1:5" s="175" customFormat="1" ht="15.75">
      <c r="A2" s="2389" t="s">
        <v>1345</v>
      </c>
      <c r="B2" s="2389"/>
      <c r="C2" s="2389"/>
      <c r="D2" s="2389"/>
      <c r="E2" s="2389"/>
    </row>
    <row r="3" s="175" customFormat="1" ht="15.75">
      <c r="B3" s="257"/>
    </row>
    <row r="4" spans="1:5" s="175" customFormat="1" ht="15.75" customHeight="1">
      <c r="A4" s="2421" t="s">
        <v>2108</v>
      </c>
      <c r="B4" s="2421"/>
      <c r="C4" s="2421"/>
      <c r="D4" s="2421"/>
      <c r="E4" s="2421"/>
    </row>
    <row r="5" s="175" customFormat="1" ht="15.75">
      <c r="A5" s="805"/>
    </row>
    <row r="6" ht="12.75">
      <c r="B6" s="1" t="s">
        <v>1601</v>
      </c>
    </row>
    <row r="7" spans="1:5" ht="27" customHeight="1">
      <c r="A7" s="258" t="s">
        <v>1432</v>
      </c>
      <c r="B7" s="258" t="s">
        <v>1370</v>
      </c>
      <c r="C7" s="141" t="s">
        <v>1332</v>
      </c>
      <c r="D7" s="141" t="s">
        <v>822</v>
      </c>
      <c r="E7" s="141" t="s">
        <v>1353</v>
      </c>
    </row>
    <row r="8" spans="1:5" s="9" customFormat="1" ht="27" customHeight="1">
      <c r="A8" s="143" t="s">
        <v>1602</v>
      </c>
      <c r="B8" s="259">
        <f>B9+B19</f>
        <v>180628</v>
      </c>
      <c r="C8" s="259">
        <f>C9+C19</f>
        <v>180628</v>
      </c>
      <c r="D8" s="259">
        <f>D9+D19+D25</f>
        <v>22122</v>
      </c>
      <c r="E8" s="2055">
        <f>D8/C8</f>
        <v>0.12247270633567332</v>
      </c>
    </row>
    <row r="9" spans="1:5" ht="27" customHeight="1">
      <c r="A9" s="484" t="s">
        <v>1603</v>
      </c>
      <c r="B9" s="380">
        <f>SUM(B10:B16)</f>
        <v>137086</v>
      </c>
      <c r="C9" s="260">
        <f>SUM(C10:C15)</f>
        <v>137086</v>
      </c>
      <c r="D9" s="260">
        <f>SUM(D10:D15)</f>
        <v>6551</v>
      </c>
      <c r="E9" s="2055">
        <f aca="true" t="shared" si="0" ref="E9:E62">D9/C9</f>
        <v>0.04778752024276731</v>
      </c>
    </row>
    <row r="10" spans="1:5" ht="27" customHeight="1">
      <c r="A10" s="122" t="s">
        <v>1604</v>
      </c>
      <c r="B10" s="261">
        <f>'Fejlesztési bevételek'!E7</f>
        <v>57000</v>
      </c>
      <c r="C10" s="260">
        <f>B10</f>
        <v>57000</v>
      </c>
      <c r="D10" s="261">
        <v>0</v>
      </c>
      <c r="E10" s="2055">
        <f t="shared" si="0"/>
        <v>0</v>
      </c>
    </row>
    <row r="11" spans="1:5" ht="27" customHeight="1">
      <c r="A11" s="122" t="s">
        <v>692</v>
      </c>
      <c r="B11" s="261">
        <f>'Fejlesztési bevételek'!E10</f>
        <v>9000</v>
      </c>
      <c r="C11" s="260">
        <f aca="true" t="shared" si="1" ref="C11:C18">B11</f>
        <v>9000</v>
      </c>
      <c r="D11" s="260">
        <v>0</v>
      </c>
      <c r="E11" s="2055">
        <f t="shared" si="0"/>
        <v>0</v>
      </c>
    </row>
    <row r="12" spans="1:5" ht="27" customHeight="1">
      <c r="A12" s="122" t="s">
        <v>2130</v>
      </c>
      <c r="B12" s="261">
        <f>'Fejlesztési bevételek'!E11</f>
        <v>26000</v>
      </c>
      <c r="C12" s="260">
        <f t="shared" si="1"/>
        <v>26000</v>
      </c>
      <c r="D12" s="260">
        <v>0</v>
      </c>
      <c r="E12" s="2055">
        <f t="shared" si="0"/>
        <v>0</v>
      </c>
    </row>
    <row r="13" spans="1:5" ht="27" customHeight="1">
      <c r="A13" s="122" t="s">
        <v>2131</v>
      </c>
      <c r="B13" s="261">
        <f>'Fejlesztési bevételek'!E12</f>
        <v>7000</v>
      </c>
      <c r="C13" s="260">
        <f t="shared" si="1"/>
        <v>7000</v>
      </c>
      <c r="D13" s="260">
        <v>0</v>
      </c>
      <c r="E13" s="2055">
        <f t="shared" si="0"/>
        <v>0</v>
      </c>
    </row>
    <row r="14" spans="1:5" ht="27" customHeight="1">
      <c r="A14" s="122" t="s">
        <v>2132</v>
      </c>
      <c r="B14" s="261">
        <f>'Fejlesztési bevételek'!E8</f>
        <v>30000</v>
      </c>
      <c r="C14" s="260">
        <f t="shared" si="1"/>
        <v>30000</v>
      </c>
      <c r="D14" s="260">
        <v>6551</v>
      </c>
      <c r="E14" s="2055">
        <f t="shared" si="0"/>
        <v>0.21836666666666665</v>
      </c>
    </row>
    <row r="15" spans="1:5" ht="27" customHeight="1">
      <c r="A15" s="122" t="s">
        <v>2133</v>
      </c>
      <c r="B15" s="261">
        <f>'Fejlesztési bevételek'!E9</f>
        <v>8086</v>
      </c>
      <c r="C15" s="260">
        <f t="shared" si="1"/>
        <v>8086</v>
      </c>
      <c r="D15" s="260">
        <v>0</v>
      </c>
      <c r="E15" s="2055">
        <f t="shared" si="0"/>
        <v>0</v>
      </c>
    </row>
    <row r="16" spans="1:5" ht="27" customHeight="1">
      <c r="A16" s="933" t="s">
        <v>2134</v>
      </c>
      <c r="B16" s="261">
        <f>+B17+B18</f>
        <v>0</v>
      </c>
      <c r="C16" s="260">
        <f t="shared" si="1"/>
        <v>0</v>
      </c>
      <c r="D16" s="259">
        <v>0</v>
      </c>
      <c r="E16" s="2055">
        <v>0</v>
      </c>
    </row>
    <row r="17" spans="1:5" ht="27" customHeight="1">
      <c r="A17" s="934" t="s">
        <v>189</v>
      </c>
      <c r="B17" s="261">
        <v>0</v>
      </c>
      <c r="C17" s="260">
        <f t="shared" si="1"/>
        <v>0</v>
      </c>
      <c r="D17" s="259">
        <v>0</v>
      </c>
      <c r="E17" s="2055">
        <v>0</v>
      </c>
    </row>
    <row r="18" spans="1:5" ht="27" customHeight="1">
      <c r="A18" s="935" t="s">
        <v>190</v>
      </c>
      <c r="B18" s="260">
        <v>0</v>
      </c>
      <c r="C18" s="260">
        <f t="shared" si="1"/>
        <v>0</v>
      </c>
      <c r="D18" s="259">
        <v>0</v>
      </c>
      <c r="E18" s="2055">
        <v>0</v>
      </c>
    </row>
    <row r="19" spans="1:5" ht="27" customHeight="1">
      <c r="A19" s="484" t="s">
        <v>1605</v>
      </c>
      <c r="B19" s="380">
        <f>SUM(B20:B24)</f>
        <v>43542</v>
      </c>
      <c r="C19" s="380">
        <f>SUM(C20:C24)</f>
        <v>43542</v>
      </c>
      <c r="D19" s="380">
        <f>SUM(D20:D24)</f>
        <v>13378</v>
      </c>
      <c r="E19" s="2055">
        <f t="shared" si="0"/>
        <v>0.3072435809103854</v>
      </c>
    </row>
    <row r="20" spans="1:5" ht="27" customHeight="1">
      <c r="A20" s="122" t="s">
        <v>1606</v>
      </c>
      <c r="B20" s="261">
        <f>'Fejlesztési bevételek'!E16</f>
        <v>2704</v>
      </c>
      <c r="C20" s="260">
        <f>B20</f>
        <v>2704</v>
      </c>
      <c r="D20" s="261">
        <v>0</v>
      </c>
      <c r="E20" s="2055">
        <f t="shared" si="0"/>
        <v>0</v>
      </c>
    </row>
    <row r="21" spans="1:5" ht="27" customHeight="1">
      <c r="A21" s="122" t="s">
        <v>667</v>
      </c>
      <c r="B21" s="261">
        <f>'Fejlesztési bevételek'!E17</f>
        <v>109</v>
      </c>
      <c r="C21" s="260">
        <f>B21</f>
        <v>109</v>
      </c>
      <c r="D21" s="261">
        <f>50+61</f>
        <v>111</v>
      </c>
      <c r="E21" s="2055">
        <f t="shared" si="0"/>
        <v>1.018348623853211</v>
      </c>
    </row>
    <row r="22" spans="1:5" ht="27" customHeight="1">
      <c r="A22" s="122" t="s">
        <v>668</v>
      </c>
      <c r="B22" s="261">
        <f>'Fejlesztési bevételek'!E18</f>
        <v>1979</v>
      </c>
      <c r="C22" s="260">
        <f>B22</f>
        <v>1979</v>
      </c>
      <c r="D22" s="261">
        <v>884</v>
      </c>
      <c r="E22" s="2055">
        <f t="shared" si="0"/>
        <v>0.44669024759979786</v>
      </c>
    </row>
    <row r="23" spans="1:5" ht="27" customHeight="1">
      <c r="A23" s="122" t="s">
        <v>669</v>
      </c>
      <c r="B23" s="261">
        <f>'Fejlesztési bevételek'!E19+'Fejlesztési bevételek'!E20</f>
        <v>19050</v>
      </c>
      <c r="C23" s="260">
        <f>B23</f>
        <v>19050</v>
      </c>
      <c r="D23" s="261">
        <f>3200+9183</f>
        <v>12383</v>
      </c>
      <c r="E23" s="2055">
        <f t="shared" si="0"/>
        <v>0.6500262467191601</v>
      </c>
    </row>
    <row r="24" spans="1:5" ht="27" customHeight="1">
      <c r="A24" s="738" t="s">
        <v>670</v>
      </c>
      <c r="B24" s="261">
        <f>'Fejlesztési bevételek'!E21</f>
        <v>19700</v>
      </c>
      <c r="C24" s="260">
        <f>B24</f>
        <v>19700</v>
      </c>
      <c r="D24" s="379">
        <v>0</v>
      </c>
      <c r="E24" s="2055">
        <f t="shared" si="0"/>
        <v>0</v>
      </c>
    </row>
    <row r="25" spans="1:5" ht="27" customHeight="1">
      <c r="A25" s="925" t="s">
        <v>321</v>
      </c>
      <c r="B25" s="426">
        <v>0</v>
      </c>
      <c r="C25" s="260">
        <v>0</v>
      </c>
      <c r="D25" s="380">
        <f>D26</f>
        <v>2193</v>
      </c>
      <c r="E25" s="2055">
        <v>0</v>
      </c>
    </row>
    <row r="26" spans="1:5" ht="27" customHeight="1">
      <c r="A26" s="782" t="s">
        <v>266</v>
      </c>
      <c r="B26" s="426">
        <v>0</v>
      </c>
      <c r="C26" s="260">
        <v>0</v>
      </c>
      <c r="D26" s="261">
        <v>2193</v>
      </c>
      <c r="E26" s="2055">
        <v>0</v>
      </c>
    </row>
    <row r="27" spans="1:5" s="9" customFormat="1" ht="27" customHeight="1">
      <c r="A27" s="143" t="s">
        <v>348</v>
      </c>
      <c r="B27" s="259">
        <f>+B28+B34</f>
        <v>61223</v>
      </c>
      <c r="C27" s="259">
        <f>+C28+C34</f>
        <v>61223</v>
      </c>
      <c r="D27" s="379">
        <f>+D28+D34</f>
        <v>34719</v>
      </c>
      <c r="E27" s="2055">
        <f t="shared" si="0"/>
        <v>0.5670907992094474</v>
      </c>
    </row>
    <row r="28" spans="1:5" s="9" customFormat="1" ht="27" customHeight="1">
      <c r="A28" s="484" t="s">
        <v>349</v>
      </c>
      <c r="B28" s="380">
        <f>SUM(B29:B31)</f>
        <v>61223</v>
      </c>
      <c r="C28" s="380">
        <f>SUM(C29:C31)</f>
        <v>61223</v>
      </c>
      <c r="D28" s="380">
        <f>SUM(D29:D33)</f>
        <v>31604</v>
      </c>
      <c r="E28" s="2055">
        <f t="shared" si="0"/>
        <v>0.5162112278065433</v>
      </c>
    </row>
    <row r="29" spans="1:6" ht="27" customHeight="1">
      <c r="A29" s="928" t="s">
        <v>2135</v>
      </c>
      <c r="B29" s="261">
        <f>'Fejlesztési bevételek'!E31</f>
        <v>22334</v>
      </c>
      <c r="C29" s="260">
        <f>B29</f>
        <v>22334</v>
      </c>
      <c r="D29" s="261">
        <v>3863</v>
      </c>
      <c r="E29" s="2055">
        <f t="shared" si="0"/>
        <v>0.1729649861198173</v>
      </c>
      <c r="F29" s="464"/>
    </row>
    <row r="30" spans="1:6" ht="27" customHeight="1">
      <c r="A30" s="928" t="s">
        <v>2136</v>
      </c>
      <c r="B30" s="261">
        <f>'Fejlesztési bevételek'!E27</f>
        <v>2995</v>
      </c>
      <c r="C30" s="260">
        <f>B30</f>
        <v>2995</v>
      </c>
      <c r="D30" s="261">
        <v>0</v>
      </c>
      <c r="E30" s="2055">
        <f t="shared" si="0"/>
        <v>0</v>
      </c>
      <c r="F30" s="464"/>
    </row>
    <row r="31" spans="1:6" ht="31.5" customHeight="1">
      <c r="A31" s="929" t="s">
        <v>2137</v>
      </c>
      <c r="B31" s="261">
        <f>'Fejlesztési bevételek'!E38</f>
        <v>35894</v>
      </c>
      <c r="C31" s="260">
        <f>B31</f>
        <v>35894</v>
      </c>
      <c r="D31" s="261">
        <v>26740</v>
      </c>
      <c r="E31" s="2055">
        <f t="shared" si="0"/>
        <v>0.7449713043962779</v>
      </c>
      <c r="F31" s="464"/>
    </row>
    <row r="32" spans="1:6" ht="31.5" customHeight="1">
      <c r="A32" s="928" t="s">
        <v>34</v>
      </c>
      <c r="B32" s="261">
        <v>0</v>
      </c>
      <c r="C32" s="260">
        <v>0</v>
      </c>
      <c r="D32" s="261">
        <v>528</v>
      </c>
      <c r="E32" s="2055">
        <v>0</v>
      </c>
      <c r="F32" s="464"/>
    </row>
    <row r="33" spans="1:6" ht="31.5" customHeight="1">
      <c r="A33" s="928" t="s">
        <v>265</v>
      </c>
      <c r="B33" s="261">
        <v>0</v>
      </c>
      <c r="C33" s="260">
        <v>0</v>
      </c>
      <c r="D33" s="261">
        <v>473</v>
      </c>
      <c r="E33" s="2055">
        <v>0</v>
      </c>
      <c r="F33" s="464"/>
    </row>
    <row r="34" spans="1:6" ht="31.5" customHeight="1">
      <c r="A34" s="930" t="s">
        <v>350</v>
      </c>
      <c r="B34" s="259">
        <f>B35</f>
        <v>0</v>
      </c>
      <c r="C34" s="259">
        <f>C35</f>
        <v>0</v>
      </c>
      <c r="D34" s="379">
        <f>D35</f>
        <v>3115</v>
      </c>
      <c r="E34" s="2055">
        <v>0</v>
      </c>
      <c r="F34" s="464"/>
    </row>
    <row r="35" spans="1:6" ht="31.5" customHeight="1">
      <c r="A35" s="928" t="s">
        <v>251</v>
      </c>
      <c r="B35" s="260">
        <v>0</v>
      </c>
      <c r="C35" s="260">
        <v>0</v>
      </c>
      <c r="D35" s="261">
        <v>3115</v>
      </c>
      <c r="E35" s="2055">
        <v>0</v>
      </c>
      <c r="F35" s="464"/>
    </row>
    <row r="36" spans="1:6" ht="31.5" customHeight="1">
      <c r="A36" s="931" t="s">
        <v>351</v>
      </c>
      <c r="B36" s="259">
        <f>B37+B53+B58</f>
        <v>943937.1691943307</v>
      </c>
      <c r="C36" s="259">
        <f>C37+C53+C58</f>
        <v>943937.1691943307</v>
      </c>
      <c r="D36" s="379">
        <f>D37+D53+D58</f>
        <v>178179</v>
      </c>
      <c r="E36" s="2055">
        <f t="shared" si="0"/>
        <v>0.18876150427689944</v>
      </c>
      <c r="F36" s="464"/>
    </row>
    <row r="37" spans="1:6" s="129" customFormat="1" ht="27" customHeight="1">
      <c r="A37" s="484" t="s">
        <v>352</v>
      </c>
      <c r="B37" s="426">
        <f>SUM(B38:B49)</f>
        <v>817170.00384</v>
      </c>
      <c r="C37" s="426">
        <f>SUM(C38:C49)</f>
        <v>817170.00384</v>
      </c>
      <c r="D37" s="380">
        <f>SUM(D38:D52)</f>
        <v>177261</v>
      </c>
      <c r="E37" s="2055">
        <f t="shared" si="0"/>
        <v>0.21692059077918294</v>
      </c>
      <c r="F37" s="464"/>
    </row>
    <row r="38" spans="1:6" s="129" customFormat="1" ht="27" customHeight="1">
      <c r="A38" s="782" t="s">
        <v>375</v>
      </c>
      <c r="B38" s="260">
        <v>0</v>
      </c>
      <c r="C38" s="260">
        <f>B38</f>
        <v>0</v>
      </c>
      <c r="D38" s="261">
        <v>0</v>
      </c>
      <c r="E38" s="2055">
        <v>0</v>
      </c>
      <c r="F38" s="464"/>
    </row>
    <row r="39" spans="1:6" s="129" customFormat="1" ht="27" customHeight="1">
      <c r="A39" s="927" t="s">
        <v>2138</v>
      </c>
      <c r="B39" s="261">
        <v>0</v>
      </c>
      <c r="C39" s="260">
        <f aca="true" t="shared" si="2" ref="C39:C49">B39</f>
        <v>0</v>
      </c>
      <c r="D39" s="261">
        <v>0</v>
      </c>
      <c r="E39" s="2055">
        <v>0</v>
      </c>
      <c r="F39" s="464"/>
    </row>
    <row r="40" spans="1:6" s="129" customFormat="1" ht="27" customHeight="1">
      <c r="A40" s="927" t="s">
        <v>2139</v>
      </c>
      <c r="B40" s="261">
        <v>0</v>
      </c>
      <c r="C40" s="260">
        <f t="shared" si="2"/>
        <v>0</v>
      </c>
      <c r="D40" s="261">
        <v>0</v>
      </c>
      <c r="E40" s="2055">
        <v>0</v>
      </c>
      <c r="F40" s="464"/>
    </row>
    <row r="41" spans="1:6" s="129" customFormat="1" ht="27" customHeight="1">
      <c r="A41" s="926" t="s">
        <v>2140</v>
      </c>
      <c r="B41" s="261">
        <f>'Fejlesztési bevételek'!E30</f>
        <v>150741</v>
      </c>
      <c r="C41" s="260">
        <f t="shared" si="2"/>
        <v>150741</v>
      </c>
      <c r="D41" s="261">
        <v>15896</v>
      </c>
      <c r="E41" s="2055">
        <f t="shared" si="0"/>
        <v>0.10545239848481833</v>
      </c>
      <c r="F41" s="464"/>
    </row>
    <row r="42" spans="1:6" s="129" customFormat="1" ht="30">
      <c r="A42" s="927" t="s">
        <v>2141</v>
      </c>
      <c r="B42" s="261">
        <f>'Fejlesztési bevételek'!E40</f>
        <v>11615</v>
      </c>
      <c r="C42" s="260">
        <f t="shared" si="2"/>
        <v>11615</v>
      </c>
      <c r="D42" s="261">
        <v>0</v>
      </c>
      <c r="E42" s="2055">
        <f t="shared" si="0"/>
        <v>0</v>
      </c>
      <c r="F42" s="464"/>
    </row>
    <row r="43" spans="1:6" s="128" customFormat="1" ht="34.5" customHeight="1">
      <c r="A43" s="927" t="s">
        <v>2142</v>
      </c>
      <c r="B43" s="261">
        <v>0</v>
      </c>
      <c r="C43" s="260">
        <f t="shared" si="2"/>
        <v>0</v>
      </c>
      <c r="D43" s="261">
        <v>0</v>
      </c>
      <c r="E43" s="2055">
        <v>0</v>
      </c>
      <c r="F43" s="464"/>
    </row>
    <row r="44" spans="1:6" s="128" customFormat="1" ht="34.5" customHeight="1">
      <c r="A44" s="927" t="s">
        <v>2143</v>
      </c>
      <c r="B44" s="261">
        <f>'Fejlesztési bevételek'!E37</f>
        <v>318751</v>
      </c>
      <c r="C44" s="260">
        <f t="shared" si="2"/>
        <v>318751</v>
      </c>
      <c r="D44" s="261">
        <v>0</v>
      </c>
      <c r="E44" s="2055">
        <f t="shared" si="0"/>
        <v>0</v>
      </c>
      <c r="F44" s="464"/>
    </row>
    <row r="45" spans="1:6" s="128" customFormat="1" ht="27" customHeight="1">
      <c r="A45" s="927" t="s">
        <v>354</v>
      </c>
      <c r="B45" s="261">
        <f>'Fejlesztési bevételek'!E32</f>
        <v>62926.003840000005</v>
      </c>
      <c r="C45" s="260">
        <f t="shared" si="2"/>
        <v>62926.003840000005</v>
      </c>
      <c r="D45" s="261">
        <f>55297</f>
        <v>55297</v>
      </c>
      <c r="E45" s="2055">
        <f t="shared" si="0"/>
        <v>0.8787623021573396</v>
      </c>
      <c r="F45" s="464"/>
    </row>
    <row r="46" spans="1:6" s="128" customFormat="1" ht="40.5" customHeight="1">
      <c r="A46" s="932" t="s">
        <v>2144</v>
      </c>
      <c r="B46" s="261">
        <f>'Fejlesztési bevételek'!E29</f>
        <v>4765</v>
      </c>
      <c r="C46" s="260">
        <f t="shared" si="2"/>
        <v>4765</v>
      </c>
      <c r="D46" s="261">
        <v>4765</v>
      </c>
      <c r="E46" s="2055">
        <f t="shared" si="0"/>
        <v>1</v>
      </c>
      <c r="F46" s="464"/>
    </row>
    <row r="47" spans="1:6" s="128" customFormat="1" ht="27" customHeight="1">
      <c r="A47" s="345" t="s">
        <v>2145</v>
      </c>
      <c r="B47" s="261">
        <f>'Fejlesztési bevételek'!E28</f>
        <v>187583</v>
      </c>
      <c r="C47" s="260">
        <f t="shared" si="2"/>
        <v>187583</v>
      </c>
      <c r="D47" s="261">
        <v>38228</v>
      </c>
      <c r="E47" s="2055">
        <f t="shared" si="0"/>
        <v>0.20379245454012357</v>
      </c>
      <c r="F47" s="464"/>
    </row>
    <row r="48" spans="1:6" s="128" customFormat="1" ht="27" customHeight="1">
      <c r="A48" s="927" t="s">
        <v>2146</v>
      </c>
      <c r="B48" s="261">
        <f>'Fejlesztési bevételek'!E35</f>
        <v>4903</v>
      </c>
      <c r="C48" s="260">
        <f t="shared" si="2"/>
        <v>4903</v>
      </c>
      <c r="D48" s="261">
        <v>4830</v>
      </c>
      <c r="E48" s="2055">
        <f t="shared" si="0"/>
        <v>0.9851111564348358</v>
      </c>
      <c r="F48" s="464"/>
    </row>
    <row r="49" spans="1:6" s="128" customFormat="1" ht="27" customHeight="1">
      <c r="A49" s="345" t="s">
        <v>2147</v>
      </c>
      <c r="B49" s="261">
        <f>'Fejlesztési bevételek'!E26</f>
        <v>75886</v>
      </c>
      <c r="C49" s="260">
        <f t="shared" si="2"/>
        <v>75886</v>
      </c>
      <c r="D49" s="261">
        <v>1437</v>
      </c>
      <c r="E49" s="2055">
        <f t="shared" si="0"/>
        <v>0.018936299185620536</v>
      </c>
      <c r="F49" s="464"/>
    </row>
    <row r="50" spans="1:6" s="128" customFormat="1" ht="27" customHeight="1">
      <c r="A50" s="345" t="s">
        <v>252</v>
      </c>
      <c r="B50" s="261">
        <v>0</v>
      </c>
      <c r="C50" s="260">
        <v>0</v>
      </c>
      <c r="D50" s="261">
        <v>7505</v>
      </c>
      <c r="E50" s="2055">
        <v>0</v>
      </c>
      <c r="F50" s="464"/>
    </row>
    <row r="51" spans="1:6" s="128" customFormat="1" ht="27" customHeight="1">
      <c r="A51" s="345" t="s">
        <v>253</v>
      </c>
      <c r="B51" s="261">
        <v>0</v>
      </c>
      <c r="C51" s="260">
        <v>0</v>
      </c>
      <c r="D51" s="261">
        <v>47699</v>
      </c>
      <c r="E51" s="2055">
        <v>0</v>
      </c>
      <c r="F51" s="464"/>
    </row>
    <row r="52" spans="1:6" s="128" customFormat="1" ht="27" customHeight="1">
      <c r="A52" s="927" t="s">
        <v>264</v>
      </c>
      <c r="B52" s="261">
        <v>0</v>
      </c>
      <c r="C52" s="260">
        <v>0</v>
      </c>
      <c r="D52" s="261">
        <v>1604</v>
      </c>
      <c r="E52" s="2055">
        <v>0</v>
      </c>
      <c r="F52" s="464"/>
    </row>
    <row r="53" spans="1:6" s="128" customFormat="1" ht="27" customHeight="1">
      <c r="A53" s="484" t="s">
        <v>353</v>
      </c>
      <c r="B53" s="261">
        <f>SUM(B54:B55)</f>
        <v>126767.1653543307</v>
      </c>
      <c r="C53" s="261">
        <f>SUM(C54:C55)</f>
        <v>126767.1653543307</v>
      </c>
      <c r="D53" s="261">
        <f>SUM(D54:D57)</f>
        <v>918</v>
      </c>
      <c r="E53" s="2055">
        <f t="shared" si="0"/>
        <v>0.007241622840063282</v>
      </c>
      <c r="F53" s="464"/>
    </row>
    <row r="54" spans="1:6" s="128" customFormat="1" ht="27" customHeight="1">
      <c r="A54" s="927" t="s">
        <v>807</v>
      </c>
      <c r="B54" s="261">
        <f>'Fejlesztési bevételek'!E44</f>
        <v>1687</v>
      </c>
      <c r="C54" s="260">
        <f aca="true" t="shared" si="3" ref="C54:C61">B54</f>
        <v>1687</v>
      </c>
      <c r="D54" s="261">
        <v>0</v>
      </c>
      <c r="E54" s="2055">
        <f t="shared" si="0"/>
        <v>0</v>
      </c>
      <c r="F54" s="464"/>
    </row>
    <row r="55" spans="1:6" s="128" customFormat="1" ht="27" customHeight="1">
      <c r="A55" s="927" t="s">
        <v>1148</v>
      </c>
      <c r="B55" s="261">
        <f>'Fejlesztési bevételek'!E45</f>
        <v>125080.1653543307</v>
      </c>
      <c r="C55" s="260">
        <f t="shared" si="3"/>
        <v>125080.1653543307</v>
      </c>
      <c r="D55" s="261">
        <v>0</v>
      </c>
      <c r="E55" s="2055">
        <f t="shared" si="0"/>
        <v>0</v>
      </c>
      <c r="F55" s="464"/>
    </row>
    <row r="56" spans="1:6" s="128" customFormat="1" ht="27" customHeight="1">
      <c r="A56" s="927" t="s">
        <v>262</v>
      </c>
      <c r="B56" s="261">
        <v>0</v>
      </c>
      <c r="C56" s="260">
        <v>0</v>
      </c>
      <c r="D56" s="261">
        <v>752</v>
      </c>
      <c r="E56" s="2055">
        <v>0</v>
      </c>
      <c r="F56" s="464"/>
    </row>
    <row r="57" spans="1:6" s="128" customFormat="1" ht="27" customHeight="1">
      <c r="A57" s="927" t="s">
        <v>263</v>
      </c>
      <c r="B57" s="261">
        <v>0</v>
      </c>
      <c r="C57" s="260">
        <v>0</v>
      </c>
      <c r="D57" s="261">
        <v>166</v>
      </c>
      <c r="E57" s="2055">
        <v>0</v>
      </c>
      <c r="F57" s="464"/>
    </row>
    <row r="58" spans="1:6" s="128" customFormat="1" ht="33.75" customHeight="1">
      <c r="A58" s="930" t="s">
        <v>376</v>
      </c>
      <c r="B58" s="380">
        <v>0</v>
      </c>
      <c r="C58" s="259">
        <f t="shared" si="3"/>
        <v>0</v>
      </c>
      <c r="D58" s="379">
        <v>0</v>
      </c>
      <c r="E58" s="2055">
        <v>0</v>
      </c>
      <c r="F58" s="464"/>
    </row>
    <row r="59" spans="1:6" ht="27" customHeight="1">
      <c r="A59" s="262" t="s">
        <v>377</v>
      </c>
      <c r="B59" s="263">
        <f>+B60</f>
        <v>0</v>
      </c>
      <c r="C59" s="259">
        <f t="shared" si="3"/>
        <v>0</v>
      </c>
      <c r="D59" s="259">
        <f>D60</f>
        <v>15590</v>
      </c>
      <c r="E59" s="2055">
        <v>0</v>
      </c>
      <c r="F59" s="464"/>
    </row>
    <row r="60" spans="1:6" s="12" customFormat="1" ht="27" customHeight="1">
      <c r="A60" s="122" t="s">
        <v>2120</v>
      </c>
      <c r="B60" s="260">
        <v>0</v>
      </c>
      <c r="C60" s="259">
        <f t="shared" si="3"/>
        <v>0</v>
      </c>
      <c r="D60" s="259">
        <v>15590</v>
      </c>
      <c r="E60" s="2055">
        <v>0</v>
      </c>
      <c r="F60" s="362"/>
    </row>
    <row r="61" spans="1:5" ht="27" customHeight="1">
      <c r="A61" s="262" t="s">
        <v>378</v>
      </c>
      <c r="B61" s="263">
        <f>pénzmaradvány!B24+pénzmaradvány!B25</f>
        <v>28720</v>
      </c>
      <c r="C61" s="259">
        <f t="shared" si="3"/>
        <v>28720</v>
      </c>
      <c r="D61" s="259">
        <v>0</v>
      </c>
      <c r="E61" s="2055">
        <f t="shared" si="0"/>
        <v>0</v>
      </c>
    </row>
    <row r="62" spans="1:5" ht="27" customHeight="1">
      <c r="A62" s="262" t="s">
        <v>1608</v>
      </c>
      <c r="B62" s="263">
        <f>+B8+B27+B36+B59+B61</f>
        <v>1214508.1691943307</v>
      </c>
      <c r="C62" s="263">
        <f>+C8+C27+C36+C59+C61</f>
        <v>1214508.1691943307</v>
      </c>
      <c r="D62" s="263">
        <f>+D8+D27+D36+D59+D61</f>
        <v>250610</v>
      </c>
      <c r="E62" s="2055">
        <f t="shared" si="0"/>
        <v>0.20634690350930068</v>
      </c>
    </row>
  </sheetData>
  <sheetProtection/>
  <mergeCells count="3">
    <mergeCell ref="B1:E1"/>
    <mergeCell ref="A2:E2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Csurgó Kistérségi Többcélú Társulás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József</dc:creator>
  <cp:keywords/>
  <dc:description/>
  <cp:lastModifiedBy>GomborB</cp:lastModifiedBy>
  <cp:lastPrinted>2013-04-19T08:28:34Z</cp:lastPrinted>
  <dcterms:created xsi:type="dcterms:W3CDTF">2005-12-29T10:12:48Z</dcterms:created>
  <dcterms:modified xsi:type="dcterms:W3CDTF">2013-04-19T08:36:34Z</dcterms:modified>
  <cp:category/>
  <cp:version/>
  <cp:contentType/>
  <cp:contentStatus/>
</cp:coreProperties>
</file>